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476" windowWidth="8970" windowHeight="4575" tabRatio="715" activeTab="0"/>
  </bookViews>
  <sheets>
    <sheet name="Introduction" sheetId="1" r:id="rId1"/>
    <sheet name="Export Summary" sheetId="2" r:id="rId2"/>
    <sheet name="Input" sheetId="3" r:id="rId3"/>
    <sheet name="Export Details" sheetId="4" r:id="rId4"/>
  </sheets>
  <definedNames>
    <definedName name="\A">#REF!</definedName>
    <definedName name="\B">#REF!</definedName>
    <definedName name="\C">#REF!</definedName>
    <definedName name="\D">#REF!</definedName>
    <definedName name="\E">#REF!</definedName>
    <definedName name="\F">#REF!</definedName>
    <definedName name="\H">#REF!</definedName>
    <definedName name="\I">#REF!</definedName>
    <definedName name="\L">#REF!</definedName>
    <definedName name="\N">#REF!</definedName>
    <definedName name="\O">#REF!</definedName>
    <definedName name="\R">#REF!</definedName>
    <definedName name="\S">#REF!</definedName>
    <definedName name="\T">#REF!</definedName>
    <definedName name="\U">#REF!</definedName>
    <definedName name="\W">#REF!</definedName>
    <definedName name="\Y">#REF!</definedName>
    <definedName name="_xlnm.Print_Area" localSheetId="3">'Export Details'!$A$1:$I$249</definedName>
    <definedName name="_xlnm.Print_Area" localSheetId="0">'Introduction'!$A$1:$H$50</definedName>
    <definedName name="_xlnm.Print_Titles" localSheetId="3">'Export Details'!$19:$19</definedName>
    <definedName name="Z_6E930F6D_F725_11D2_92B5_0004ACD86FC2_.wvu.PrintArea" localSheetId="0" hidden="1">'Introduction'!$A$1:$B$28</definedName>
  </definedNames>
  <calcPr fullCalcOnLoad="1"/>
</workbook>
</file>

<file path=xl/sharedStrings.xml><?xml version="1.0" encoding="utf-8"?>
<sst xmlns="http://schemas.openxmlformats.org/spreadsheetml/2006/main" count="472" uniqueCount="222">
  <si>
    <t xml:space="preserve"> </t>
  </si>
  <si>
    <t xml:space="preserve">     </t>
  </si>
  <si>
    <t>1.01 Seed</t>
  </si>
  <si>
    <t>lbs/acre</t>
  </si>
  <si>
    <t>Seed Cost ($/lb)</t>
  </si>
  <si>
    <t xml:space="preserve">1.02 Fertilizer </t>
  </si>
  <si>
    <t>Fertilizer</t>
  </si>
  <si>
    <t>Nitrogen</t>
  </si>
  <si>
    <t>Phosphate</t>
  </si>
  <si>
    <t>Potash</t>
  </si>
  <si>
    <t>Sulfur</t>
  </si>
  <si>
    <t>Zinc</t>
  </si>
  <si>
    <t>1.03 Chemicals</t>
  </si>
  <si>
    <t>Cost/Acre</t>
  </si>
  <si>
    <t>Diesel Fuel Cost $/litre</t>
  </si>
  <si>
    <t>Field</t>
  </si>
  <si>
    <t>Times</t>
  </si>
  <si>
    <t>Width</t>
  </si>
  <si>
    <t>Speed</t>
  </si>
  <si>
    <t>Tractor</t>
  </si>
  <si>
    <t>Operation</t>
  </si>
  <si>
    <t>Over</t>
  </si>
  <si>
    <t>Feet</t>
  </si>
  <si>
    <t>MPH</t>
  </si>
  <si>
    <t>HP</t>
  </si>
  <si>
    <t>Cultivate</t>
  </si>
  <si>
    <t>Spray</t>
  </si>
  <si>
    <t>Useful</t>
  </si>
  <si>
    <t>Salvage</t>
  </si>
  <si>
    <t>Capital Costs</t>
  </si>
  <si>
    <t>Life</t>
  </si>
  <si>
    <t>Value</t>
  </si>
  <si>
    <t>Land Market Value</t>
  </si>
  <si>
    <t>Machinery Investment</t>
  </si>
  <si>
    <t>Storage Investment</t>
  </si>
  <si>
    <t>Labour Costs ($/acre)</t>
  </si>
  <si>
    <t>Machinery Costs</t>
  </si>
  <si>
    <t>1.02 Fertilizer</t>
  </si>
  <si>
    <t>Subtotal Operating</t>
  </si>
  <si>
    <t>Total Operating Costs</t>
  </si>
  <si>
    <t>2.01 Machinery</t>
  </si>
  <si>
    <t>2.02 Storage</t>
  </si>
  <si>
    <t>3.01 Land</t>
  </si>
  <si>
    <t>3.02 Machinery</t>
  </si>
  <si>
    <t>Total Fixed Costs</t>
  </si>
  <si>
    <t>A. Operating Costs</t>
  </si>
  <si>
    <t>x</t>
  </si>
  <si>
    <t>=</t>
  </si>
  <si>
    <t xml:space="preserve">     Nitrogen</t>
  </si>
  <si>
    <t xml:space="preserve">     Sulfur</t>
  </si>
  <si>
    <t>+</t>
  </si>
  <si>
    <t>CAPACITY</t>
  </si>
  <si>
    <t>TIME</t>
  </si>
  <si>
    <t>MAINT</t>
  </si>
  <si>
    <t>AC./HR.</t>
  </si>
  <si>
    <t>HR./AC.</t>
  </si>
  <si>
    <t>&amp; LUB</t>
  </si>
  <si>
    <t>÷</t>
  </si>
  <si>
    <t>B. Fixed Costs</t>
  </si>
  <si>
    <t>-</t>
  </si>
  <si>
    <t>3.03 Storage</t>
  </si>
  <si>
    <t>feet</t>
  </si>
  <si>
    <t>mph</t>
  </si>
  <si>
    <t>Fuel</t>
  </si>
  <si>
    <t>$/ac.</t>
  </si>
  <si>
    <t>Rate per hour</t>
  </si>
  <si>
    <t>Hours per acre</t>
  </si>
  <si>
    <t>hours/acre</t>
  </si>
  <si>
    <t>Prepared by:</t>
  </si>
  <si>
    <t>Farm Management Specialist</t>
  </si>
  <si>
    <t>percentage rate</t>
  </si>
  <si>
    <t>investment/acre</t>
  </si>
  <si>
    <t>$/hour</t>
  </si>
  <si>
    <t>3. Investment</t>
  </si>
  <si>
    <t>2. Depreciation</t>
  </si>
  <si>
    <t>$ /acre</t>
  </si>
  <si>
    <t>average</t>
  </si>
  <si>
    <t>interest rate</t>
  </si>
  <si>
    <t>cost/acre</t>
  </si>
  <si>
    <t>salvage value</t>
  </si>
  <si>
    <t>useful life</t>
  </si>
  <si>
    <t>% investment rate</t>
  </si>
  <si>
    <t>C. Labour</t>
  </si>
  <si>
    <t>Total Cost of Production</t>
  </si>
  <si>
    <t>Assumptions:</t>
  </si>
  <si>
    <t>Price of Diesel ($/litre)</t>
  </si>
  <si>
    <t>Number of Acres</t>
  </si>
  <si>
    <t>Table 1.  Operation Profile</t>
  </si>
  <si>
    <t>Interest on Investment</t>
  </si>
  <si>
    <t>Your Cost</t>
  </si>
  <si>
    <t>Total</t>
  </si>
  <si>
    <t>Original Value - Salvage Value</t>
  </si>
  <si>
    <t>Crop Insurance ($/acre)</t>
  </si>
  <si>
    <t>Number of total acres</t>
  </si>
  <si>
    <t>$/lb</t>
  </si>
  <si>
    <t>$/acre</t>
  </si>
  <si>
    <t>Timothy Hay</t>
  </si>
  <si>
    <t>Export</t>
  </si>
  <si>
    <t xml:space="preserve">Timothy Yield </t>
  </si>
  <si>
    <t>Year</t>
  </si>
  <si>
    <t>Total Yield</t>
  </si>
  <si>
    <t>Average Yield</t>
  </si>
  <si>
    <t>Seeding rate/acre (lbs)</t>
  </si>
  <si>
    <t>Seeding</t>
  </si>
  <si>
    <t>Cropping</t>
  </si>
  <si>
    <t>1.03 Herbicides</t>
  </si>
  <si>
    <t>Broadleaf Control</t>
  </si>
  <si>
    <t>Wildoats</t>
  </si>
  <si>
    <t>1.04 Fuel Costs</t>
  </si>
  <si>
    <t>Harrow Packer</t>
  </si>
  <si>
    <t>Mower</t>
  </si>
  <si>
    <t>Bale</t>
  </si>
  <si>
    <t xml:space="preserve">lbs/acre </t>
  </si>
  <si>
    <t>lbs/acre seeding</t>
  </si>
  <si>
    <t>cost/lb seeding</t>
  </si>
  <si>
    <t>lbs/acre cropping</t>
  </si>
  <si>
    <t>cost/lb cropping</t>
  </si>
  <si>
    <t>Recondition</t>
  </si>
  <si>
    <t>1.04 Field Fuel Costs</t>
  </si>
  <si>
    <t>Total Fuel Costs</t>
  </si>
  <si>
    <t>1.05 Moving Costs</t>
  </si>
  <si>
    <t>Market</t>
  </si>
  <si>
    <t>250 hp</t>
  </si>
  <si>
    <t>150 hp</t>
  </si>
  <si>
    <t>90 hp</t>
  </si>
  <si>
    <t>Sprayer</t>
  </si>
  <si>
    <t>Harrow packer</t>
  </si>
  <si>
    <t>Baler</t>
  </si>
  <si>
    <t>Truck &amp; Trailer</t>
  </si>
  <si>
    <t>Mower conditioner</t>
  </si>
  <si>
    <t>Storage Shed</t>
  </si>
  <si>
    <t>Timothy</t>
  </si>
  <si>
    <t>Velmar</t>
  </si>
  <si>
    <t>1.06 Custom Operations</t>
  </si>
  <si>
    <t>1.07 Repairs &amp; Maintenance</t>
  </si>
  <si>
    <t>1.08 Insurance</t>
  </si>
  <si>
    <t>1.09 Miscellaneous</t>
  </si>
  <si>
    <t>1.10 Land Taxes</t>
  </si>
  <si>
    <t>1.11 Interest  on Operating</t>
  </si>
  <si>
    <t>1.06 Custom Costs</t>
  </si>
  <si>
    <t>1.07 Repair &amp; Maintenance</t>
  </si>
  <si>
    <t>1.11 Interest on Operating</t>
  </si>
  <si>
    <t>broadleaf control (cropping)</t>
  </si>
  <si>
    <t>Cut</t>
  </si>
  <si>
    <t>Cultivator</t>
  </si>
  <si>
    <t>Establishment</t>
  </si>
  <si>
    <t>1.06 Custom &amp; Rental Operations</t>
  </si>
  <si>
    <t>Reconditioner</t>
  </si>
  <si>
    <t>establishment</t>
  </si>
  <si>
    <t>$/tonne</t>
  </si>
  <si>
    <t>Establish Cost</t>
  </si>
  <si>
    <t>wildoats (establish)</t>
  </si>
  <si>
    <t>broadleaf control (establish)</t>
  </si>
  <si>
    <t xml:space="preserve">       Pickup, load, unload and stack $/bale</t>
  </si>
  <si>
    <t>bale weight lbs</t>
  </si>
  <si>
    <t xml:space="preserve">       Establishment</t>
  </si>
  <si>
    <t>$/bale</t>
  </si>
  <si>
    <t>bale weight (lbs)</t>
  </si>
  <si>
    <t>establishment cost</t>
  </si>
  <si>
    <t>tonnes/acre</t>
  </si>
  <si>
    <t>Cost $/lb</t>
  </si>
  <si>
    <t>Cost $/acre</t>
  </si>
  <si>
    <t>Annual</t>
  </si>
  <si>
    <t>Estimated fuel cost per acre of establishing crop</t>
  </si>
  <si>
    <t>Estimated fuel cost per acre of annul crop</t>
  </si>
  <si>
    <t>cropping</t>
  </si>
  <si>
    <t>estimated</t>
  </si>
  <si>
    <t>calculated</t>
  </si>
  <si>
    <r>
      <t>1.01 Seed (establishment)</t>
    </r>
    <r>
      <rPr>
        <vertAlign val="superscript"/>
        <sz val="12"/>
        <rFont val="Arial"/>
        <family val="2"/>
      </rPr>
      <t>1</t>
    </r>
  </si>
  <si>
    <t>Annual Cost</t>
  </si>
  <si>
    <t>a) Establish  operations</t>
  </si>
  <si>
    <t>b) Annual operations</t>
  </si>
  <si>
    <t xml:space="preserve">For more information contact your local Manitoba Agriculture and Food office. </t>
  </si>
  <si>
    <t>Dennis Hodgson P.Ag.</t>
  </si>
  <si>
    <t>Peter Blawat P.Ag.</t>
  </si>
  <si>
    <t>Kevin Yaworski P.Ag.</t>
  </si>
  <si>
    <t>Forage Specialist</t>
  </si>
  <si>
    <t xml:space="preserve">Estimated </t>
  </si>
  <si>
    <t>Market Cost</t>
  </si>
  <si>
    <t xml:space="preserve">Total </t>
  </si>
  <si>
    <t>Cost / acre</t>
  </si>
  <si>
    <t>Equipment</t>
  </si>
  <si>
    <r>
      <t>Original Value + Salvage Value</t>
    </r>
    <r>
      <rPr>
        <b/>
        <sz val="12"/>
        <rFont val="Arial"/>
        <family val="2"/>
      </rPr>
      <t xml:space="preserve">  x  Investment Rate</t>
    </r>
  </si>
  <si>
    <t xml:space="preserve">    Pick up, load, unload &amp; stack</t>
  </si>
  <si>
    <t>lbs/tonne</t>
  </si>
  <si>
    <t xml:space="preserve">                                Useful Life</t>
  </si>
  <si>
    <t>acres</t>
  </si>
  <si>
    <t>applicator rental ($/acre)</t>
  </si>
  <si>
    <t>risk area 8</t>
  </si>
  <si>
    <t>per acre</t>
  </si>
  <si>
    <t>Applicator rental</t>
  </si>
  <si>
    <t xml:space="preserve">      Applicator rental</t>
  </si>
  <si>
    <t>coverage level</t>
  </si>
  <si>
    <t>$/acre coverage</t>
  </si>
  <si>
    <t xml:space="preserve">     Establish</t>
  </si>
  <si>
    <t xml:space="preserve">     Establish </t>
  </si>
  <si>
    <t xml:space="preserve">     Annual</t>
  </si>
  <si>
    <t xml:space="preserve">     Annual </t>
  </si>
  <si>
    <t>% rate of investment</t>
  </si>
  <si>
    <t>to Timothy</t>
  </si>
  <si>
    <t>Allocated %</t>
  </si>
  <si>
    <t>Allocated</t>
  </si>
  <si>
    <t xml:space="preserve">     Zinc</t>
  </si>
  <si>
    <r>
      <t xml:space="preserve">     P</t>
    </r>
    <r>
      <rPr>
        <b/>
        <vertAlign val="subscript"/>
        <sz val="12"/>
        <rFont val="Arial"/>
        <family val="2"/>
      </rPr>
      <t>2</t>
    </r>
    <r>
      <rPr>
        <b/>
        <sz val="12"/>
        <rFont val="Arial"/>
        <family val="2"/>
      </rPr>
      <t>O</t>
    </r>
    <r>
      <rPr>
        <b/>
        <vertAlign val="subscript"/>
        <sz val="12"/>
        <rFont val="Arial"/>
        <family val="2"/>
      </rPr>
      <t>5</t>
    </r>
  </si>
  <si>
    <r>
      <t xml:space="preserve">     K</t>
    </r>
    <r>
      <rPr>
        <b/>
        <vertAlign val="subscript"/>
        <sz val="12"/>
        <rFont val="Arial"/>
        <family val="2"/>
      </rPr>
      <t>2</t>
    </r>
    <r>
      <rPr>
        <b/>
        <sz val="12"/>
        <rFont val="Arial"/>
        <family val="2"/>
      </rPr>
      <t>O</t>
    </r>
  </si>
  <si>
    <t xml:space="preserve">     Establish* </t>
  </si>
  <si>
    <t xml:space="preserve">     Annual** </t>
  </si>
  <si>
    <t>*Investment to establish crop includes tractors, sprayer, cultivator &amp; packer</t>
  </si>
  <si>
    <t>**Investment in annual cropping includes tractors, baler, truck &amp; trailer, mower &amp; reconditioner</t>
  </si>
  <si>
    <t>Export Timothy Hay Cost of Production Worksheet</t>
  </si>
  <si>
    <t>2. The machinery and equipment complement is similar to a grain enterprise with the addition of a baler, mower conditioner and a storage shed.</t>
  </si>
  <si>
    <t>Date:</t>
  </si>
  <si>
    <t>Guidelines For Estimating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</si>
  <si>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t>
    </r>
  </si>
  <si>
    <t>tonnes/acre coverage</t>
  </si>
  <si>
    <t>$ /acre (administration  fee)</t>
  </si>
  <si>
    <t>annual admin fee</t>
  </si>
  <si>
    <t>1.00 Establishment Cost</t>
  </si>
  <si>
    <t>Establish</t>
  </si>
  <si>
    <t>January, 2004</t>
  </si>
  <si>
    <t>Timothy Hay Production Costs - For Export</t>
  </si>
  <si>
    <t>n/a</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</si>
</sst>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
    <numFmt numFmtId="174" formatCode="&quot;$&quot;#,##0.0000\ ;\(&quot;$&quot;#,##0.0000\)"/>
    <numFmt numFmtId="175" formatCode="#,##0.0"/>
    <numFmt numFmtId="176" formatCode="&quot;$&quot;#,##0.0000"/>
    <numFmt numFmtId="177" formatCode="&quot;$&quot;#,##0.00"/>
    <numFmt numFmtId="178" formatCode="yyyy"/>
    <numFmt numFmtId="179" formatCode="0.0"/>
    <numFmt numFmtId="180" formatCode="&quot;$&quot;#,##0.0\ ;\(&quot;$&quot;#,##0.0\)"/>
    <numFmt numFmtId="181" formatCode="#,##0.000"/>
    <numFmt numFmtId="182" formatCode=";;;"/>
    <numFmt numFmtId="183" formatCode="0.000"/>
    <numFmt numFmtId="184" formatCode="&quot;$&quot;#,##0.0_);\(&quot;$&quot;#,##0.0\)"/>
    <numFmt numFmtId="185" formatCode="#,##0.0_);\(#,##0.0\)"/>
    <numFmt numFmtId="186" formatCode="0.0000000"/>
    <numFmt numFmtId="187" formatCode="0.000000"/>
    <numFmt numFmtId="188" formatCode="0.00000"/>
    <numFmt numFmtId="189" formatCode="&quot;$&quot;#,##0"/>
    <numFmt numFmtId="190" formatCode="0.00000000"/>
    <numFmt numFmtId="191" formatCode="&quot;$&quot;#,##0.0"/>
    <numFmt numFmtId="192" formatCode="#,##0.000000000"/>
    <numFmt numFmtId="193" formatCode="0.0%"/>
    <numFmt numFmtId="194" formatCode="&quot;$&quot;#,##0.000_);\(&quot;$&quot;#,##0.000\)"/>
    <numFmt numFmtId="195" formatCode="&quot;$&quot;#,##0.0000_);\(&quot;$&quot;#,##0.0000\)"/>
    <numFmt numFmtId="196" formatCode="&quot;$&quot;#,##0.000"/>
    <numFmt numFmtId="197" formatCode="m/d/yy\ h:mm\ AM/PM"/>
    <numFmt numFmtId="198" formatCode="&quot;$&quot;#,##0.00_);[Red]&quot;$&quot;#,##0.00"/>
    <numFmt numFmtId="199" formatCode="\-\ \+\ &quot;$&quot;#,##0.00_);[Red]&quot;$&quot;#,##0.00"/>
    <numFmt numFmtId="200" formatCode="\-&quot;$&quot;#,##0.00_);[Red]&quot;$&quot;#,##0.00"/>
    <numFmt numFmtId="201" formatCode="#,##0.00_);[Red]&quot;$&quot;#,##0.00\ * \-\1"/>
    <numFmt numFmtId="202" formatCode="#,##0.00_);[Red]&quot;$&quot;#,##0.00,\-\ "/>
    <numFmt numFmtId="203" formatCode="\-\,#,##0.00_);[Red]&quot;$&quot;#,##0.00,"/>
    <numFmt numFmtId="204" formatCode="\-\,#,##0.00_);[Red]&quot;$&quot;#,##0.00"/>
    <numFmt numFmtId="205" formatCode="#,##0.00_);[Red]\1&quot;$&quot;#,##0.00"/>
    <numFmt numFmtId="206" formatCode="#,##0.00_);[Red]\-&quot;$&quot;#,##0.00"/>
    <numFmt numFmtId="207" formatCode="#,##0.00__;[Red]\-&quot;$&quot;#,##0.00"/>
    <numFmt numFmtId="208" formatCode="#,##0.00_);[Red]\-\ &quot;$&quot;#,##0.00"/>
    <numFmt numFmtId="209" formatCode="&quot;$&quot;#,##0.00_);[Red]\-&quot;$&quot;#,##0.00"/>
    <numFmt numFmtId="210" formatCode="m/d"/>
    <numFmt numFmtId="211" formatCode="mmmm\ d\,\ yyyy"/>
    <numFmt numFmtId="212" formatCode="#,##0.0000;[Red]\-#,##0.0000"/>
    <numFmt numFmtId="213" formatCode="&quot;$&quot;#,##0.0000;[Red]\-&quot;$&quot;#,##0.0000"/>
    <numFmt numFmtId="214" formatCode="&quot;$&quot;#,##0.0000_);[Red]\-&quot;$&quot;#,##0.0000"/>
    <numFmt numFmtId="215" formatCode="&quot;$&quot;#,##0.000;\-&quot;$&quot;#,##0.000"/>
    <numFmt numFmtId="216" formatCode="#,##0_ ;\-#,##0\ "/>
    <numFmt numFmtId="217" formatCode="#,##0.0_ ;\-#,##0.0\ "/>
    <numFmt numFmtId="218" formatCode="#,##0.00_ ;\-#,##0.00\ "/>
    <numFmt numFmtId="219" formatCode="&quot;$&quot;#,##0.0000;\-&quot;$&quot;#,##0.0000"/>
    <numFmt numFmtId="220" formatCode="&quot;$&quot;#,##0.0;\-&quot;$&quot;#,##0.0"/>
  </numFmts>
  <fonts count="22">
    <font>
      <sz val="12"/>
      <name val="Arial"/>
      <family val="0"/>
    </font>
    <font>
      <b/>
      <sz val="12"/>
      <name val="Arial"/>
      <family val="0"/>
    </font>
    <font>
      <b/>
      <u val="single"/>
      <sz val="12"/>
      <name val="Arial"/>
      <family val="0"/>
    </font>
    <font>
      <u val="single"/>
      <sz val="12"/>
      <name val="Arial"/>
      <family val="0"/>
    </font>
    <font>
      <sz val="14"/>
      <name val="Arial"/>
      <family val="2"/>
    </font>
    <font>
      <sz val="12"/>
      <name val="Lucida Sans Unicode"/>
      <family val="2"/>
    </font>
    <font>
      <b/>
      <sz val="14"/>
      <color indexed="18"/>
      <name val="Arial"/>
      <family val="2"/>
    </font>
    <font>
      <b/>
      <sz val="12"/>
      <color indexed="12"/>
      <name val="Arial"/>
      <family val="2"/>
    </font>
    <font>
      <b/>
      <sz val="10"/>
      <color indexed="12"/>
      <name val="Arial"/>
      <family val="2"/>
    </font>
    <font>
      <vertAlign val="superscript"/>
      <sz val="12"/>
      <name val="Arial"/>
      <family val="2"/>
    </font>
    <font>
      <b/>
      <sz val="9"/>
      <name val="Arial"/>
      <family val="2"/>
    </font>
    <font>
      <b/>
      <sz val="10"/>
      <name val="Arial"/>
      <family val="2"/>
    </font>
    <font>
      <b/>
      <u val="single"/>
      <sz val="12"/>
      <color indexed="12"/>
      <name val="Arial"/>
      <family val="2"/>
    </font>
    <font>
      <b/>
      <vertAlign val="subscript"/>
      <sz val="12"/>
      <name val="Arial"/>
      <family val="2"/>
    </font>
    <font>
      <sz val="20"/>
      <name val="Arial"/>
      <family val="2"/>
    </font>
    <font>
      <sz val="10"/>
      <name val="Arial"/>
      <family val="2"/>
    </font>
    <font>
      <b/>
      <sz val="14"/>
      <name val="Arial"/>
      <family val="2"/>
    </font>
    <font>
      <sz val="20"/>
      <color indexed="18"/>
      <name val="CG Times"/>
      <family val="1"/>
    </font>
    <font>
      <sz val="12"/>
      <name val="CG Times"/>
      <family val="1"/>
    </font>
    <font>
      <sz val="24"/>
      <color indexed="18"/>
      <name val="CG Times"/>
      <family val="1"/>
    </font>
    <font>
      <sz val="24"/>
      <name val="CG Times"/>
      <family val="1"/>
    </font>
    <font>
      <sz val="8"/>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1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0" fillId="0" borderId="0">
      <alignment horizontal="right" vertical="justify"/>
      <protection/>
    </xf>
    <xf numFmtId="177" fontId="0" fillId="0" borderId="0">
      <alignment vertical="top"/>
      <protection/>
    </xf>
  </cellStyleXfs>
  <cellXfs count="151">
    <xf numFmtId="0" fontId="0" fillId="0" borderId="0" xfId="0" applyAlignment="1">
      <alignment/>
    </xf>
    <xf numFmtId="0" fontId="5" fillId="0" borderId="0" xfId="0" applyFont="1" applyAlignment="1">
      <alignment/>
    </xf>
    <xf numFmtId="0" fontId="0" fillId="0" borderId="0" xfId="0" applyFont="1" applyAlignment="1">
      <alignment/>
    </xf>
    <xf numFmtId="3" fontId="7" fillId="0" borderId="0" xfId="0" applyNumberFormat="1" applyFont="1" applyAlignment="1" applyProtection="1">
      <alignment/>
      <protection locked="0"/>
    </xf>
    <xf numFmtId="7" fontId="7" fillId="0" borderId="0" xfId="0" applyNumberFormat="1" applyFont="1" applyAlignment="1" applyProtection="1">
      <alignment/>
      <protection locked="0"/>
    </xf>
    <xf numFmtId="0" fontId="7" fillId="0" borderId="0" xfId="0" applyFont="1" applyAlignment="1" applyProtection="1">
      <alignment/>
      <protection locked="0"/>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Alignment="1" applyProtection="1">
      <alignment horizontal="left"/>
      <protection/>
    </xf>
    <xf numFmtId="0" fontId="2" fillId="0" borderId="0" xfId="0" applyFont="1" applyAlignment="1" applyProtection="1">
      <alignment/>
      <protection/>
    </xf>
    <xf numFmtId="0" fontId="2" fillId="0" borderId="0" xfId="0" applyFont="1" applyAlignment="1" applyProtection="1">
      <alignment horizontal="right"/>
      <protection/>
    </xf>
    <xf numFmtId="0" fontId="1" fillId="0" borderId="0" xfId="0" applyFont="1" applyAlignment="1" applyProtection="1">
      <alignment horizontal="right"/>
      <protection/>
    </xf>
    <xf numFmtId="5" fontId="7" fillId="0" borderId="0" xfId="0" applyNumberFormat="1" applyFont="1" applyAlignment="1" applyProtection="1">
      <alignment/>
      <protection locked="0"/>
    </xf>
    <xf numFmtId="9" fontId="7" fillId="0" borderId="0" xfId="0" applyNumberFormat="1" applyFont="1" applyAlignment="1" applyProtection="1">
      <alignment/>
      <protection locked="0"/>
    </xf>
    <xf numFmtId="177" fontId="0" fillId="0" borderId="0" xfId="16">
      <alignment vertical="top"/>
      <protection/>
    </xf>
    <xf numFmtId="177" fontId="0" fillId="0" borderId="0" xfId="16" applyFont="1" applyAlignment="1">
      <alignment horizontal="left" vertical="top"/>
      <protection/>
    </xf>
    <xf numFmtId="177" fontId="0" fillId="0" borderId="0" xfId="16" applyFont="1">
      <alignment vertical="top"/>
      <protection/>
    </xf>
    <xf numFmtId="0" fontId="0" fillId="0" borderId="0" xfId="0" applyFont="1" applyAlignment="1" applyProtection="1">
      <alignment/>
      <protection/>
    </xf>
    <xf numFmtId="0" fontId="0" fillId="0" borderId="0" xfId="0" applyFont="1" applyFill="1" applyAlignment="1" applyProtection="1">
      <alignment/>
      <protection/>
    </xf>
    <xf numFmtId="0" fontId="5" fillId="0" borderId="0" xfId="0" applyFont="1" applyAlignment="1" applyProtection="1">
      <alignment/>
      <protection/>
    </xf>
    <xf numFmtId="0" fontId="0" fillId="0" borderId="1" xfId="0" applyFont="1" applyBorder="1" applyAlignment="1" applyProtection="1">
      <alignment/>
      <protection/>
    </xf>
    <xf numFmtId="0" fontId="0" fillId="0" borderId="2" xfId="0" applyFont="1"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left"/>
      <protection/>
    </xf>
    <xf numFmtId="177" fontId="0" fillId="0" borderId="0" xfId="0" applyNumberFormat="1" applyFont="1" applyAlignment="1" applyProtection="1">
      <alignment/>
      <protection/>
    </xf>
    <xf numFmtId="177" fontId="3" fillId="0" borderId="0" xfId="0" applyNumberFormat="1" applyFont="1" applyAlignment="1" applyProtection="1">
      <alignment/>
      <protection/>
    </xf>
    <xf numFmtId="177" fontId="1" fillId="0" borderId="0" xfId="0" applyNumberFormat="1" applyFont="1" applyAlignment="1" applyProtection="1">
      <alignment/>
      <protection/>
    </xf>
    <xf numFmtId="177" fontId="7" fillId="0" borderId="0" xfId="0" applyNumberFormat="1" applyFont="1" applyAlignment="1" applyProtection="1">
      <alignment/>
      <protection locked="0"/>
    </xf>
    <xf numFmtId="0" fontId="0" fillId="0" borderId="0" xfId="0" applyFont="1" applyAlignment="1" applyProtection="1">
      <alignment horizontal="left"/>
      <protection/>
    </xf>
    <xf numFmtId="0" fontId="7" fillId="0" borderId="0" xfId="0" applyFont="1" applyAlignment="1" applyProtection="1">
      <alignment/>
      <protection/>
    </xf>
    <xf numFmtId="177" fontId="7" fillId="0" borderId="0" xfId="0" applyNumberFormat="1" applyFont="1" applyAlignment="1" applyProtection="1">
      <alignment/>
      <protection/>
    </xf>
    <xf numFmtId="177" fontId="0" fillId="0" borderId="0" xfId="0" applyNumberFormat="1" applyFont="1" applyAlignment="1">
      <alignment/>
    </xf>
    <xf numFmtId="177" fontId="3" fillId="0" borderId="0" xfId="0" applyNumberFormat="1" applyFont="1" applyAlignment="1">
      <alignment/>
    </xf>
    <xf numFmtId="0" fontId="1" fillId="0" borderId="0" xfId="0" applyFont="1" applyAlignment="1" applyProtection="1">
      <alignment horizontal="center"/>
      <protection/>
    </xf>
    <xf numFmtId="0" fontId="2" fillId="0" borderId="0" xfId="0" applyFont="1" applyAlignment="1" applyProtection="1">
      <alignment horizontal="center"/>
      <protection/>
    </xf>
    <xf numFmtId="177" fontId="1" fillId="0" borderId="0" xfId="0" applyNumberFormat="1" applyFont="1" applyAlignment="1">
      <alignment/>
    </xf>
    <xf numFmtId="193" fontId="7" fillId="0" borderId="0" xfId="0" applyNumberFormat="1" applyFont="1" applyAlignment="1" applyProtection="1">
      <alignment/>
      <protection locked="0"/>
    </xf>
    <xf numFmtId="0" fontId="2" fillId="0" borderId="0" xfId="0" applyNumberFormat="1" applyFont="1" applyAlignment="1" applyProtection="1">
      <alignment horizontal="center"/>
      <protection/>
    </xf>
    <xf numFmtId="179" fontId="7" fillId="0" borderId="0" xfId="0" applyNumberFormat="1" applyFont="1" applyAlignment="1" applyProtection="1">
      <alignment/>
      <protection locked="0"/>
    </xf>
    <xf numFmtId="177" fontId="1" fillId="0" borderId="0" xfId="15" applyNumberFormat="1" applyFont="1">
      <alignment horizontal="right" vertical="justify"/>
      <protection/>
    </xf>
    <xf numFmtId="0" fontId="0" fillId="0" borderId="0" xfId="0" applyAlignment="1">
      <alignment/>
    </xf>
    <xf numFmtId="0" fontId="3" fillId="0" borderId="0" xfId="0" applyFont="1" applyAlignment="1" applyProtection="1">
      <alignment/>
      <protection/>
    </xf>
    <xf numFmtId="7" fontId="0" fillId="0" borderId="0" xfId="0" applyNumberFormat="1" applyFont="1" applyAlignment="1">
      <alignment/>
    </xf>
    <xf numFmtId="0" fontId="2" fillId="0" borderId="0" xfId="0" applyFont="1" applyFill="1" applyAlignment="1" applyProtection="1">
      <alignment horizontal="center"/>
      <protection/>
    </xf>
    <xf numFmtId="0" fontId="0" fillId="0" borderId="0" xfId="0" applyAlignment="1">
      <alignment vertical="top"/>
    </xf>
    <xf numFmtId="177" fontId="0" fillId="0" borderId="0" xfId="16" applyBorder="1" applyAlignment="1">
      <alignment vertical="top"/>
      <protection/>
    </xf>
    <xf numFmtId="0" fontId="0" fillId="0" borderId="0" xfId="0" applyFont="1" applyBorder="1" applyAlignment="1" applyProtection="1">
      <alignment/>
      <protection/>
    </xf>
    <xf numFmtId="177" fontId="0" fillId="0" borderId="0" xfId="0" applyNumberFormat="1" applyFont="1" applyBorder="1" applyAlignment="1" applyProtection="1">
      <alignment/>
      <protection/>
    </xf>
    <xf numFmtId="7" fontId="0" fillId="0" borderId="0" xfId="0" applyNumberFormat="1" applyFont="1" applyBorder="1" applyAlignment="1">
      <alignment/>
    </xf>
    <xf numFmtId="177" fontId="0" fillId="0" borderId="0" xfId="0" applyNumberFormat="1" applyFont="1" applyBorder="1" applyAlignment="1">
      <alignment/>
    </xf>
    <xf numFmtId="177" fontId="3" fillId="0" borderId="0" xfId="0" applyNumberFormat="1" applyFont="1" applyBorder="1" applyAlignment="1">
      <alignment/>
    </xf>
    <xf numFmtId="177" fontId="1" fillId="0" borderId="0" xfId="0" applyNumberFormat="1" applyFont="1" applyBorder="1" applyAlignment="1">
      <alignment/>
    </xf>
    <xf numFmtId="177" fontId="1" fillId="0" borderId="0" xfId="0" applyNumberFormat="1" applyFont="1" applyBorder="1" applyAlignment="1" applyProtection="1">
      <alignment/>
      <protection/>
    </xf>
    <xf numFmtId="0" fontId="0" fillId="0" borderId="0" xfId="0" applyFont="1" applyBorder="1" applyAlignment="1">
      <alignment/>
    </xf>
    <xf numFmtId="177" fontId="3" fillId="0" borderId="0" xfId="0" applyNumberFormat="1" applyFont="1" applyBorder="1" applyAlignment="1" applyProtection="1">
      <alignment/>
      <protection/>
    </xf>
    <xf numFmtId="0" fontId="2" fillId="0" borderId="0" xfId="0" applyFont="1" applyAlignment="1" applyProtection="1">
      <alignment horizontal="center"/>
      <protection/>
    </xf>
    <xf numFmtId="177" fontId="0" fillId="0" borderId="0" xfId="16" applyFont="1" applyAlignment="1">
      <alignment vertical="top"/>
      <protection/>
    </xf>
    <xf numFmtId="189" fontId="0" fillId="0" borderId="0" xfId="0" applyNumberFormat="1" applyFont="1" applyAlignment="1" applyProtection="1">
      <alignment/>
      <protection/>
    </xf>
    <xf numFmtId="0" fontId="0" fillId="0" borderId="0" xfId="0" applyFont="1" applyAlignment="1">
      <alignment vertical="top"/>
    </xf>
    <xf numFmtId="3" fontId="7" fillId="0" borderId="0" xfId="0" applyNumberFormat="1" applyFont="1" applyAlignment="1" applyProtection="1">
      <alignment/>
      <protection/>
    </xf>
    <xf numFmtId="7" fontId="1" fillId="0" borderId="0" xfId="0" applyNumberFormat="1" applyFont="1" applyAlignment="1" applyProtection="1">
      <alignment/>
      <protection/>
    </xf>
    <xf numFmtId="0" fontId="11" fillId="0" borderId="0" xfId="0" applyFont="1" applyBorder="1" applyAlignment="1">
      <alignment vertical="center"/>
    </xf>
    <xf numFmtId="166" fontId="7" fillId="0" borderId="0" xfId="15" applyFont="1" applyProtection="1">
      <alignment horizontal="right" vertical="justify"/>
      <protection locked="0"/>
    </xf>
    <xf numFmtId="5" fontId="1" fillId="0" borderId="0" xfId="0" applyNumberFormat="1" applyFont="1" applyAlignment="1" applyProtection="1">
      <alignment/>
      <protection/>
    </xf>
    <xf numFmtId="5" fontId="2" fillId="0" borderId="0" xfId="0" applyNumberFormat="1" applyFont="1" applyAlignment="1" applyProtection="1">
      <alignment/>
      <protection/>
    </xf>
    <xf numFmtId="0" fontId="7" fillId="0" borderId="0" xfId="0" applyFont="1" applyAlignment="1" applyProtection="1">
      <alignment horizontal="center"/>
      <protection locked="0"/>
    </xf>
    <xf numFmtId="0" fontId="12" fillId="0" borderId="0" xfId="0" applyFont="1" applyAlignment="1" applyProtection="1">
      <alignment horizontal="center"/>
      <protection locked="0"/>
    </xf>
    <xf numFmtId="9" fontId="0" fillId="0" borderId="0" xfId="0" applyNumberFormat="1" applyFont="1" applyAlignment="1" applyProtection="1">
      <alignment/>
      <protection/>
    </xf>
    <xf numFmtId="177" fontId="1" fillId="0" borderId="0" xfId="16" applyFont="1" applyAlignment="1">
      <alignment horizontal="right" vertical="top"/>
      <protection/>
    </xf>
    <xf numFmtId="0" fontId="0" fillId="0" borderId="0" xfId="0" applyAlignment="1">
      <alignment vertical="center"/>
    </xf>
    <xf numFmtId="189" fontId="7" fillId="0" borderId="0" xfId="0" applyNumberFormat="1" applyFont="1" applyAlignment="1" applyProtection="1">
      <alignment/>
      <protection locked="0"/>
    </xf>
    <xf numFmtId="189" fontId="12" fillId="0" borderId="0" xfId="0" applyNumberFormat="1" applyFont="1" applyAlignment="1" applyProtection="1">
      <alignment/>
      <protection locked="0"/>
    </xf>
    <xf numFmtId="5" fontId="0" fillId="0" borderId="0" xfId="0" applyAlignment="1" applyProtection="1">
      <alignment vertical="top"/>
      <protection/>
    </xf>
    <xf numFmtId="17" fontId="1" fillId="0" borderId="0" xfId="16" applyNumberFormat="1" applyFont="1" applyAlignment="1">
      <alignment horizontal="left" vertical="top"/>
      <protection/>
    </xf>
    <xf numFmtId="215" fontId="7" fillId="0" borderId="0" xfId="0" applyNumberFormat="1" applyFont="1" applyAlignment="1" applyProtection="1">
      <alignment/>
      <protection locked="0"/>
    </xf>
    <xf numFmtId="196" fontId="7" fillId="0" borderId="0" xfId="0" applyNumberFormat="1" applyFont="1" applyAlignment="1" applyProtection="1">
      <alignment/>
      <protection locked="0"/>
    </xf>
    <xf numFmtId="9" fontId="7" fillId="0" borderId="0" xfId="0" applyNumberFormat="1" applyFont="1" applyAlignment="1" applyProtection="1">
      <alignment/>
      <protection/>
    </xf>
    <xf numFmtId="0" fontId="0" fillId="0" borderId="0" xfId="0" applyAlignment="1">
      <alignment horizontal="right" vertical="top"/>
    </xf>
    <xf numFmtId="0" fontId="14" fillId="0" borderId="0" xfId="0" applyFont="1" applyAlignment="1">
      <alignment horizontal="right" vertical="top"/>
    </xf>
    <xf numFmtId="177" fontId="17" fillId="0" borderId="0" xfId="16" applyFont="1" applyAlignment="1">
      <alignment horizontal="center" vertical="top"/>
      <protection/>
    </xf>
    <xf numFmtId="0" fontId="18" fillId="0" borderId="0" xfId="0" applyFont="1" applyAlignment="1">
      <alignment horizontal="center" vertical="top"/>
    </xf>
    <xf numFmtId="0" fontId="0" fillId="0" borderId="0" xfId="0" applyAlignment="1" applyProtection="1">
      <alignment horizontal="center"/>
      <protection/>
    </xf>
    <xf numFmtId="7" fontId="0" fillId="2" borderId="0" xfId="0" applyNumberFormat="1" applyFont="1" applyFill="1" applyBorder="1" applyAlignment="1" quotePrefix="1">
      <alignment horizontal="right"/>
    </xf>
    <xf numFmtId="0" fontId="1" fillId="0" borderId="0" xfId="0" applyFont="1" applyFill="1" applyAlignment="1" applyProtection="1">
      <alignment horizontal="right"/>
      <protection/>
    </xf>
    <xf numFmtId="0" fontId="2" fillId="0" borderId="0" xfId="0" applyFont="1" applyFill="1" applyAlignment="1" applyProtection="1">
      <alignment horizontal="right"/>
      <protection/>
    </xf>
    <xf numFmtId="0" fontId="2" fillId="0" borderId="0" xfId="0" applyNumberFormat="1" applyFont="1" applyAlignment="1" applyProtection="1">
      <alignment horizontal="right"/>
      <protection/>
    </xf>
    <xf numFmtId="7" fontId="7" fillId="0" borderId="0" xfId="0" applyNumberFormat="1" applyFont="1" applyAlignment="1" applyProtection="1">
      <alignment/>
      <protection/>
    </xf>
    <xf numFmtId="0" fontId="3" fillId="0" borderId="0" xfId="0" applyFont="1" applyAlignment="1" applyProtection="1">
      <alignment/>
      <protection/>
    </xf>
    <xf numFmtId="4" fontId="1" fillId="0" borderId="0" xfId="0" applyNumberFormat="1" applyFont="1" applyAlignment="1" applyProtection="1">
      <alignment horizontal="center" vertical="top"/>
      <protection/>
    </xf>
    <xf numFmtId="4" fontId="0" fillId="0" borderId="0" xfId="0" applyNumberFormat="1" applyFont="1" applyAlignment="1" applyProtection="1">
      <alignment vertical="top"/>
      <protection/>
    </xf>
    <xf numFmtId="179" fontId="7" fillId="0" borderId="0" xfId="0" applyNumberFormat="1" applyFont="1" applyAlignment="1" applyProtection="1">
      <alignment/>
      <protection/>
    </xf>
    <xf numFmtId="189" fontId="1" fillId="0" borderId="0" xfId="0" applyNumberFormat="1" applyFont="1" applyAlignment="1" applyProtection="1">
      <alignment/>
      <protection/>
    </xf>
    <xf numFmtId="7" fontId="1" fillId="0" borderId="0" xfId="0" applyNumberFormat="1" applyFont="1" applyAlignment="1" applyProtection="1">
      <alignment/>
      <protection locked="0"/>
    </xf>
    <xf numFmtId="0" fontId="0" fillId="0" borderId="0" xfId="0" applyFont="1" applyAlignment="1" applyProtection="1" quotePrefix="1">
      <alignment/>
      <protection/>
    </xf>
    <xf numFmtId="0" fontId="1" fillId="0" borderId="0" xfId="0" applyFont="1" applyAlignment="1" applyProtection="1">
      <alignment/>
      <protection/>
    </xf>
    <xf numFmtId="175" fontId="0" fillId="0" borderId="0" xfId="0" applyNumberFormat="1" applyFont="1" applyAlignment="1" applyProtection="1">
      <alignment/>
      <protection/>
    </xf>
    <xf numFmtId="0" fontId="0" fillId="0" borderId="1" xfId="0" applyFont="1" applyBorder="1" applyAlignment="1" applyProtection="1">
      <alignment/>
      <protection/>
    </xf>
    <xf numFmtId="0" fontId="0" fillId="0" borderId="0" xfId="0" applyFont="1" applyAlignment="1" applyProtection="1">
      <alignment horizontal="center"/>
      <protection/>
    </xf>
    <xf numFmtId="7" fontId="0" fillId="0" borderId="0" xfId="0" applyNumberFormat="1" applyFont="1" applyAlignment="1" applyProtection="1">
      <alignment/>
      <protection/>
    </xf>
    <xf numFmtId="0" fontId="0" fillId="0" borderId="2" xfId="0" applyFont="1" applyBorder="1" applyAlignment="1" applyProtection="1">
      <alignment/>
      <protection/>
    </xf>
    <xf numFmtId="0" fontId="3" fillId="0" borderId="0" xfId="0" applyFont="1" applyAlignment="1" applyProtection="1">
      <alignment horizontal="center"/>
      <protection/>
    </xf>
    <xf numFmtId="3" fontId="0" fillId="0" borderId="0" xfId="0" applyNumberFormat="1" applyFont="1" applyAlignment="1" applyProtection="1">
      <alignment/>
      <protection/>
    </xf>
    <xf numFmtId="7" fontId="3" fillId="0" borderId="0" xfId="0" applyNumberFormat="1" applyFont="1" applyAlignment="1" applyProtection="1">
      <alignment/>
      <protection/>
    </xf>
    <xf numFmtId="216" fontId="0" fillId="0" borderId="0" xfId="0" applyNumberFormat="1" applyFont="1" applyAlignment="1" applyProtection="1">
      <alignment/>
      <protection/>
    </xf>
    <xf numFmtId="215" fontId="3" fillId="0" borderId="0" xfId="0" applyNumberFormat="1" applyFont="1" applyAlignment="1" applyProtection="1">
      <alignment/>
      <protection/>
    </xf>
    <xf numFmtId="0" fontId="0" fillId="0" borderId="0" xfId="0" applyFont="1" applyAlignment="1" applyProtection="1">
      <alignment horizontal="right"/>
      <protection/>
    </xf>
    <xf numFmtId="177" fontId="1" fillId="0" borderId="0" xfId="15" applyNumberFormat="1" applyFont="1" applyProtection="1">
      <alignment horizontal="right" vertical="justify"/>
      <protection/>
    </xf>
    <xf numFmtId="7" fontId="1" fillId="0" borderId="0" xfId="0" applyNumberFormat="1" applyFont="1" applyAlignment="1" applyProtection="1">
      <alignment horizontal="center"/>
      <protection/>
    </xf>
    <xf numFmtId="0" fontId="2" fillId="0" borderId="0" xfId="0" applyFont="1" applyAlignment="1" applyProtection="1">
      <alignment horizontal="left"/>
      <protection/>
    </xf>
    <xf numFmtId="179" fontId="0" fillId="0" borderId="0" xfId="0" applyNumberFormat="1" applyFont="1" applyAlignment="1" applyProtection="1">
      <alignment horizontal="center"/>
      <protection/>
    </xf>
    <xf numFmtId="2" fontId="0" fillId="0" borderId="0" xfId="0" applyNumberFormat="1" applyFont="1" applyAlignment="1" applyProtection="1">
      <alignment horizontal="center"/>
      <protection/>
    </xf>
    <xf numFmtId="2" fontId="0" fillId="0" borderId="0" xfId="0" applyNumberFormat="1" applyFont="1" applyAlignment="1" applyProtection="1">
      <alignment/>
      <protection/>
    </xf>
    <xf numFmtId="173" fontId="0" fillId="0" borderId="0" xfId="0" applyNumberFormat="1" applyFont="1" applyAlignment="1" applyProtection="1">
      <alignment/>
      <protection/>
    </xf>
    <xf numFmtId="2" fontId="3" fillId="0" borderId="0" xfId="0" applyNumberFormat="1" applyFont="1" applyAlignment="1" applyProtection="1">
      <alignment horizontal="center"/>
      <protection/>
    </xf>
    <xf numFmtId="2" fontId="3" fillId="0" borderId="0" xfId="0" applyNumberFormat="1" applyFont="1" applyAlignment="1" applyProtection="1">
      <alignment/>
      <protection/>
    </xf>
    <xf numFmtId="177" fontId="0" fillId="0" borderId="0" xfId="0" applyNumberFormat="1" applyFont="1" applyAlignment="1" applyProtection="1">
      <alignment horizontal="center"/>
      <protection/>
    </xf>
    <xf numFmtId="177" fontId="3" fillId="0" borderId="0" xfId="0" applyNumberFormat="1" applyFont="1" applyAlignment="1" applyProtection="1">
      <alignment horizontal="center"/>
      <protection/>
    </xf>
    <xf numFmtId="177" fontId="1" fillId="0" borderId="0" xfId="0" applyNumberFormat="1" applyFont="1" applyAlignment="1" applyProtection="1">
      <alignment horizontal="center"/>
      <protection/>
    </xf>
    <xf numFmtId="4" fontId="0" fillId="0" borderId="0" xfId="0" applyNumberFormat="1" applyFont="1" applyAlignment="1" applyProtection="1">
      <alignment/>
      <protection/>
    </xf>
    <xf numFmtId="1" fontId="0" fillId="0" borderId="0" xfId="0" applyNumberFormat="1" applyFont="1" applyAlignment="1" applyProtection="1">
      <alignment/>
      <protection/>
    </xf>
    <xf numFmtId="193" fontId="0" fillId="0" borderId="0" xfId="0" applyNumberFormat="1" applyFont="1" applyAlignment="1" applyProtection="1">
      <alignment/>
      <protection/>
    </xf>
    <xf numFmtId="5" fontId="3" fillId="0" borderId="0" xfId="0" applyNumberFormat="1" applyFont="1" applyAlignment="1" applyProtection="1">
      <alignment/>
      <protection/>
    </xf>
    <xf numFmtId="0" fontId="10" fillId="0" borderId="0" xfId="0" applyFont="1" applyAlignment="1" applyProtection="1">
      <alignment/>
      <protection/>
    </xf>
    <xf numFmtId="7" fontId="3" fillId="0" borderId="0" xfId="0" applyNumberFormat="1" applyFont="1" applyAlignment="1" applyProtection="1">
      <alignment horizontal="center"/>
      <protection/>
    </xf>
    <xf numFmtId="189" fontId="3" fillId="0" borderId="0" xfId="0" applyNumberFormat="1" applyFont="1" applyAlignment="1" applyProtection="1">
      <alignment/>
      <protection/>
    </xf>
    <xf numFmtId="183" fontId="0" fillId="0" borderId="0" xfId="0" applyNumberFormat="1" applyFont="1" applyAlignment="1" applyProtection="1">
      <alignment/>
      <protection/>
    </xf>
    <xf numFmtId="0" fontId="0" fillId="0" borderId="0" xfId="0" applyFont="1" applyBorder="1" applyAlignment="1" applyProtection="1">
      <alignment horizontal="center"/>
      <protection/>
    </xf>
    <xf numFmtId="7" fontId="0" fillId="0" borderId="0" xfId="0" applyNumberFormat="1" applyFont="1" applyAlignment="1" applyProtection="1">
      <alignment horizontal="center"/>
      <protection/>
    </xf>
    <xf numFmtId="193" fontId="3" fillId="0" borderId="0" xfId="0" applyNumberFormat="1" applyFont="1" applyAlignment="1" applyProtection="1">
      <alignment/>
      <protection/>
    </xf>
    <xf numFmtId="5" fontId="0" fillId="0" borderId="0" xfId="0" applyNumberFormat="1"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3" fontId="3" fillId="0" borderId="0" xfId="0" applyNumberFormat="1" applyFont="1" applyAlignment="1" applyProtection="1">
      <alignment/>
      <protection/>
    </xf>
    <xf numFmtId="177" fontId="19" fillId="0" borderId="0" xfId="16" applyFont="1" applyAlignment="1">
      <alignment horizontal="center" vertical="top" wrapText="1"/>
      <protection/>
    </xf>
    <xf numFmtId="0" fontId="20" fillId="0" borderId="0" xfId="0" applyFont="1" applyAlignment="1">
      <alignment horizontal="center" vertical="top" wrapText="1"/>
    </xf>
    <xf numFmtId="177" fontId="17" fillId="0" borderId="0" xfId="16" applyFont="1" applyAlignment="1">
      <alignment horizontal="center" vertical="top" wrapText="1"/>
      <protection/>
    </xf>
    <xf numFmtId="0" fontId="18" fillId="0" borderId="0" xfId="0" applyFont="1" applyAlignment="1">
      <alignment horizontal="center" vertical="top" wrapText="1"/>
    </xf>
    <xf numFmtId="0" fontId="6" fillId="0" borderId="0" xfId="0" applyFont="1" applyFill="1" applyBorder="1" applyAlignment="1" applyProtection="1">
      <alignment horizontal="center"/>
      <protection/>
    </xf>
    <xf numFmtId="0" fontId="0" fillId="0" borderId="0" xfId="0" applyAlignment="1">
      <alignment horizontal="center"/>
    </xf>
    <xf numFmtId="5" fontId="11" fillId="0" borderId="0" xfId="0" applyFont="1" applyAlignment="1" applyProtection="1">
      <alignment vertical="top" wrapText="1"/>
      <protection/>
    </xf>
    <xf numFmtId="0" fontId="0" fillId="0" borderId="0" xfId="0" applyAlignment="1">
      <alignment vertical="top" wrapText="1"/>
    </xf>
    <xf numFmtId="0" fontId="6"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quotePrefix="1">
      <alignment vertical="center" wrapText="1"/>
      <protection/>
    </xf>
  </cellXfs>
  <cellStyles count="3">
    <cellStyle name="Normal" xfId="0"/>
    <cellStyle name="Currency" xfId="15"/>
    <cellStyle name="Normal_Farrow-Wean 500"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7</xdr:col>
      <xdr:colOff>714375</xdr:colOff>
      <xdr:row>33</xdr:row>
      <xdr:rowOff>161925</xdr:rowOff>
    </xdr:to>
    <xdr:sp>
      <xdr:nvSpPr>
        <xdr:cNvPr id="1" name="TextBox 4"/>
        <xdr:cNvSpPr txBox="1">
          <a:spLocks noChangeArrowheads="1"/>
        </xdr:cNvSpPr>
      </xdr:nvSpPr>
      <xdr:spPr>
        <a:xfrm>
          <a:off x="0" y="3876675"/>
          <a:ext cx="5857875" cy="34385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This guide is designed to provide you with planning information and a format for calculating the costs of production for timothy hay for export. Also available, is an Excel spreadsheet that can be downloaded from the Manitoba Agriculture Food and Rural Initiatives website. 
The cash input costs associated with growing a crop in Manitoba are substantial. It is extremely important for farm managers to do detailed calculations to select the optimum combination of crop inputs to maximize profits. Detailed planning is also necessary when estimating the amount of capital required to finance inputs, equipment and storage facilities. Therefore, producers are encouraged to substitute their own figures in the attached budget to develop their own cost of production for export timothy hay.
</a:t>
          </a:r>
          <a:r>
            <a:rPr lang="en-US" cap="none" sz="1200" b="1" i="0" u="none" baseline="0">
              <a:latin typeface="Arial"/>
              <a:ea typeface="Arial"/>
              <a:cs typeface="Arial"/>
            </a:rPr>
            <a:t>Disclaimer</a:t>
          </a:r>
          <a:r>
            <a:rPr lang="en-US" cap="none" sz="1200" b="0" i="0" u="none" baseline="0">
              <a:latin typeface="Arial"/>
              <a:ea typeface="Arial"/>
              <a:cs typeface="Arial"/>
            </a:rPr>
            <a:t>: This budget is only a guide and is not intended as an in depth study of the cost of production of the Manitoba Timothy industry. Interpretation and utilization of this information is the responsibility of the user. If you require assistance with developing your individual budget, please contact your local MAF Farm Management Specialist or Regional Forage Specialist.
</a:t>
          </a:r>
        </a:p>
      </xdr:txBody>
    </xdr:sp>
    <xdr:clientData/>
  </xdr:twoCellAnchor>
  <xdr:twoCellAnchor>
    <xdr:from>
      <xdr:col>0</xdr:col>
      <xdr:colOff>28575</xdr:colOff>
      <xdr:row>38</xdr:row>
      <xdr:rowOff>47625</xdr:rowOff>
    </xdr:from>
    <xdr:to>
      <xdr:col>7</xdr:col>
      <xdr:colOff>695325</xdr:colOff>
      <xdr:row>48</xdr:row>
      <xdr:rowOff>161925</xdr:rowOff>
    </xdr:to>
    <xdr:sp>
      <xdr:nvSpPr>
        <xdr:cNvPr id="2" name="TextBox 7"/>
        <xdr:cNvSpPr txBox="1">
          <a:spLocks noChangeArrowheads="1"/>
        </xdr:cNvSpPr>
      </xdr:nvSpPr>
      <xdr:spPr>
        <a:xfrm>
          <a:off x="28575" y="8153400"/>
          <a:ext cx="5810250" cy="201930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The last few years in Manitoba, has seen the demand for timothy hay for export increase dramatically. Last year nearly 30,000 tonnes of hay was exported out of the province, mainly to Japan. Processors pay premium prices for quality which is a product that is celery green in colour and free of brown leaves.
Experienced producers have had success in prod</a:t>
          </a:r>
          <a:r>
            <a:rPr lang="en-US" cap="none" sz="1200" b="0" i="0" u="none" baseline="0">
              <a:latin typeface="Arial"/>
              <a:ea typeface="Arial"/>
              <a:cs typeface="Arial"/>
            </a:rPr>
            <a:t>ucing a quality product. They  have made all necessary commitments to satisfy the customer to produce a quality product. Innovative management has resulted in a higher percentage of good quality exportable hay being produced regardless of the weather.</a:t>
          </a:r>
          <a:r>
            <a:rPr lang="en-US" cap="none" sz="1200" b="0" i="0" u="none" baseline="0">
              <a:latin typeface="Arial"/>
              <a:ea typeface="Arial"/>
              <a:cs typeface="Arial"/>
            </a:rPr>
            <a:t> Manitoba has the potential to be a major player in this market.
</a:t>
          </a:r>
          <a:r>
            <a:rPr lang="en-US" cap="none" sz="12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A1:H46"/>
  <sheetViews>
    <sheetView showGridLines="0" tabSelected="1" workbookViewId="0" topLeftCell="A1">
      <selection activeCell="A1" sqref="A1"/>
    </sheetView>
  </sheetViews>
  <sheetFormatPr defaultColWidth="8.88671875" defaultRowHeight="15"/>
  <cols>
    <col min="1" max="1" width="4.6640625" style="15" customWidth="1"/>
    <col min="2" max="2" width="12.88671875" style="15" customWidth="1"/>
    <col min="3" max="3" width="6.88671875" style="15" customWidth="1"/>
    <col min="4" max="7" width="8.88671875" style="15" customWidth="1"/>
    <col min="8" max="8" width="9.77734375" style="15" customWidth="1"/>
    <col min="9" max="16384" width="8.88671875" style="15" customWidth="1"/>
  </cols>
  <sheetData>
    <row r="1" spans="5:8" ht="23.25" customHeight="1">
      <c r="E1" s="78"/>
      <c r="F1" s="78"/>
      <c r="G1" s="78"/>
      <c r="H1" s="78"/>
    </row>
    <row r="2" spans="5:8" ht="36" customHeight="1">
      <c r="E2" s="78"/>
      <c r="F2" s="78"/>
      <c r="G2" s="78"/>
      <c r="H2" s="78"/>
    </row>
    <row r="3" spans="6:8" ht="25.5">
      <c r="F3" s="79"/>
      <c r="G3" s="79"/>
      <c r="H3" s="79"/>
    </row>
    <row r="6" spans="6:7" ht="15.75">
      <c r="F6" s="69" t="s">
        <v>211</v>
      </c>
      <c r="G6" s="74" t="s">
        <v>219</v>
      </c>
    </row>
    <row r="7" ht="15">
      <c r="B7" s="57"/>
    </row>
    <row r="8" ht="15">
      <c r="B8" s="41"/>
    </row>
    <row r="9" ht="15">
      <c r="B9" s="41"/>
    </row>
    <row r="10" ht="15">
      <c r="B10" s="41"/>
    </row>
    <row r="11" spans="1:8" ht="24" customHeight="1">
      <c r="A11" s="136" t="s">
        <v>212</v>
      </c>
      <c r="B11" s="137"/>
      <c r="C11" s="137"/>
      <c r="D11" s="137"/>
      <c r="E11" s="137"/>
      <c r="F11" s="137"/>
      <c r="G11" s="137"/>
      <c r="H11" s="137"/>
    </row>
    <row r="12" spans="1:8" ht="33.75" customHeight="1">
      <c r="A12" s="134" t="s">
        <v>220</v>
      </c>
      <c r="B12" s="135"/>
      <c r="C12" s="135"/>
      <c r="D12" s="135"/>
      <c r="E12" s="135"/>
      <c r="F12" s="135"/>
      <c r="G12" s="135"/>
      <c r="H12" s="135"/>
    </row>
    <row r="13" spans="1:8" ht="15" customHeight="1">
      <c r="A13" s="80"/>
      <c r="B13" s="81"/>
      <c r="C13" s="81"/>
      <c r="D13" s="81"/>
      <c r="E13" s="81"/>
      <c r="F13" s="81"/>
      <c r="G13" s="81"/>
      <c r="H13" s="81"/>
    </row>
    <row r="14" ht="15">
      <c r="B14" s="41"/>
    </row>
    <row r="15" ht="15">
      <c r="B15" s="41"/>
    </row>
    <row r="16" ht="15">
      <c r="B16" s="41"/>
    </row>
    <row r="17" ht="15">
      <c r="B17" s="41"/>
    </row>
    <row r="18" ht="15">
      <c r="B18" s="16"/>
    </row>
    <row r="19" ht="15">
      <c r="B19" s="16"/>
    </row>
    <row r="20" ht="15">
      <c r="B20" s="16"/>
    </row>
    <row r="21" ht="15">
      <c r="B21" s="16"/>
    </row>
    <row r="22" ht="15">
      <c r="B22" s="16"/>
    </row>
    <row r="23" ht="15">
      <c r="B23" s="16"/>
    </row>
    <row r="24" ht="15">
      <c r="B24" s="16"/>
    </row>
    <row r="25" ht="15">
      <c r="B25" s="16"/>
    </row>
    <row r="26" ht="15">
      <c r="B26" s="17"/>
    </row>
    <row r="27" ht="15">
      <c r="B27" s="17"/>
    </row>
    <row r="28" ht="15">
      <c r="B28" s="17"/>
    </row>
    <row r="30" ht="15">
      <c r="B30" s="16"/>
    </row>
    <row r="31" ht="15">
      <c r="B31" s="16"/>
    </row>
    <row r="34" ht="15">
      <c r="B34" s="57"/>
    </row>
    <row r="35" ht="15">
      <c r="B35" s="45"/>
    </row>
    <row r="36" spans="2:3" ht="15">
      <c r="B36" s="45"/>
      <c r="C36" s="46"/>
    </row>
    <row r="37" spans="3:4" ht="15">
      <c r="C37" s="45"/>
      <c r="D37" s="45"/>
    </row>
    <row r="38" spans="2:4" ht="15">
      <c r="B38" s="45"/>
      <c r="C38" s="45"/>
      <c r="D38" s="45"/>
    </row>
    <row r="39" spans="2:4" ht="15">
      <c r="B39" s="45"/>
      <c r="C39" s="45"/>
      <c r="D39" s="45"/>
    </row>
    <row r="40" spans="2:4" ht="15">
      <c r="B40" s="45"/>
      <c r="C40" s="45"/>
      <c r="D40" s="45"/>
    </row>
    <row r="41" spans="2:4" ht="15">
      <c r="B41" s="45"/>
      <c r="C41" s="45"/>
      <c r="D41" s="45"/>
    </row>
    <row r="42" spans="2:4" ht="15">
      <c r="B42" s="45"/>
      <c r="C42" s="45"/>
      <c r="D42" s="45"/>
    </row>
    <row r="43" spans="2:4" ht="15">
      <c r="B43" s="45"/>
      <c r="C43" s="45"/>
      <c r="D43" s="45"/>
    </row>
    <row r="44" spans="2:4" ht="15">
      <c r="B44" s="45"/>
      <c r="C44" s="45"/>
      <c r="D44" s="45"/>
    </row>
    <row r="45" spans="2:4" ht="15">
      <c r="B45" s="45"/>
      <c r="C45" s="45"/>
      <c r="D45" s="45"/>
    </row>
    <row r="46" spans="2:4" ht="15">
      <c r="B46" s="45"/>
      <c r="C46" s="45"/>
      <c r="D46" s="45"/>
    </row>
  </sheetData>
  <sheetProtection password="C7C6" sheet="1" objects="1" scenarios="1"/>
  <mergeCells count="2">
    <mergeCell ref="A12:H12"/>
    <mergeCell ref="A11:H11"/>
  </mergeCells>
  <printOptions/>
  <pageMargins left="0.7480314960629921" right="0.7480314960629921" top="0.8661417322834646" bottom="0.7874015748031497" header="0.5118110236220472" footer="0.5118110236220472"/>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41"/>
  <sheetViews>
    <sheetView showGridLines="0" workbookViewId="0" topLeftCell="A1">
      <selection activeCell="A1" sqref="A1"/>
    </sheetView>
  </sheetViews>
  <sheetFormatPr defaultColWidth="8.88671875" defaultRowHeight="15"/>
  <cols>
    <col min="1" max="2" width="3.77734375" style="2" customWidth="1"/>
    <col min="3" max="3" width="8.88671875" style="2" customWidth="1"/>
    <col min="4" max="4" width="5.3359375" style="2" customWidth="1"/>
    <col min="5" max="5" width="7.21484375" style="2" customWidth="1"/>
    <col min="6" max="6" width="13.10546875" style="2" customWidth="1"/>
    <col min="7" max="7" width="11.4453125" style="2" customWidth="1"/>
    <col min="8" max="8" width="10.4453125" style="2" customWidth="1"/>
    <col min="9" max="9" width="1.88671875" style="2" customWidth="1"/>
    <col min="10" max="10" width="12.21484375" style="1" customWidth="1"/>
    <col min="11" max="16384" width="8.88671875" style="1" customWidth="1"/>
  </cols>
  <sheetData>
    <row r="1" spans="2:10" ht="16.5">
      <c r="B1" s="18" t="s">
        <v>0</v>
      </c>
      <c r="C1" s="19"/>
      <c r="D1" s="19"/>
      <c r="E1" s="19"/>
      <c r="F1" s="19"/>
      <c r="G1" s="19"/>
      <c r="H1" s="19"/>
      <c r="I1" s="19"/>
      <c r="J1" s="20"/>
    </row>
    <row r="2" spans="2:10" ht="18">
      <c r="B2" s="138" t="str">
        <f>"Export Timothy Hay - Cost of Production Summary "&amp;Introduction!G6</f>
        <v>Export Timothy Hay - Cost of Production Summary January, 2004</v>
      </c>
      <c r="C2" s="139"/>
      <c r="D2" s="139"/>
      <c r="E2" s="139"/>
      <c r="F2" s="139"/>
      <c r="G2" s="139"/>
      <c r="H2" s="139"/>
      <c r="I2" s="139"/>
      <c r="J2" s="139"/>
    </row>
    <row r="3" spans="2:10" ht="16.5">
      <c r="B3" s="18"/>
      <c r="C3" s="19"/>
      <c r="D3" s="19"/>
      <c r="E3" s="19"/>
      <c r="F3" s="19"/>
      <c r="G3" s="19"/>
      <c r="H3" s="19"/>
      <c r="I3" s="19"/>
      <c r="J3" s="20"/>
    </row>
    <row r="4" spans="2:10" ht="16.5">
      <c r="B4" s="18"/>
      <c r="C4" s="19"/>
      <c r="D4" s="19"/>
      <c r="E4" s="19"/>
      <c r="F4" s="19"/>
      <c r="G4" s="19"/>
      <c r="J4" s="20"/>
    </row>
    <row r="5" spans="2:10" ht="17.25" customHeight="1">
      <c r="B5" s="18"/>
      <c r="C5" s="18"/>
      <c r="D5" s="18"/>
      <c r="E5" s="18"/>
      <c r="F5" s="12" t="s">
        <v>145</v>
      </c>
      <c r="G5" s="84" t="s">
        <v>162</v>
      </c>
      <c r="H5" s="85"/>
      <c r="I5" s="44"/>
      <c r="J5" s="20"/>
    </row>
    <row r="6" spans="1:10" ht="16.5">
      <c r="A6" s="7" t="s">
        <v>45</v>
      </c>
      <c r="F6" s="11" t="s">
        <v>161</v>
      </c>
      <c r="G6" s="11" t="s">
        <v>161</v>
      </c>
      <c r="H6" s="86" t="s">
        <v>149</v>
      </c>
      <c r="I6" s="38"/>
      <c r="J6" s="56" t="s">
        <v>89</v>
      </c>
    </row>
    <row r="7" spans="1:10" ht="16.5">
      <c r="A7" s="7"/>
      <c r="B7" s="18" t="s">
        <v>217</v>
      </c>
      <c r="F7" s="83" t="s">
        <v>221</v>
      </c>
      <c r="G7" s="49">
        <f>F34/COUNT(Input!D15:D21)</f>
        <v>20.124660714285714</v>
      </c>
      <c r="H7" s="32">
        <f>G7/Input!$E$23</f>
        <v>8.904717130214918</v>
      </c>
      <c r="I7" s="38"/>
      <c r="J7" s="56"/>
    </row>
    <row r="8" spans="2:10" ht="18.75">
      <c r="B8" s="18" t="s">
        <v>168</v>
      </c>
      <c r="F8" s="43">
        <f>'Export Details'!D24</f>
        <v>11</v>
      </c>
      <c r="G8" s="83" t="s">
        <v>221</v>
      </c>
      <c r="H8" s="83" t="s">
        <v>221</v>
      </c>
      <c r="I8" s="32"/>
      <c r="J8" s="21"/>
    </row>
    <row r="9" spans="2:10" ht="16.5">
      <c r="B9" s="18" t="s">
        <v>37</v>
      </c>
      <c r="F9" s="43">
        <f>'Export Details'!D68</f>
        <v>13.200000000000001</v>
      </c>
      <c r="G9" s="49">
        <f>'Export Details'!D69</f>
        <v>26.400000000000002</v>
      </c>
      <c r="H9" s="32">
        <f>G9/Input!$E$23</f>
        <v>11.681415929203542</v>
      </c>
      <c r="I9" s="32"/>
      <c r="J9" s="22"/>
    </row>
    <row r="10" spans="2:10" ht="16.5">
      <c r="B10" s="18" t="s">
        <v>12</v>
      </c>
      <c r="F10" s="43">
        <f>'Export Details'!D74</f>
        <v>18</v>
      </c>
      <c r="G10" s="49">
        <f>'Export Details'!D76</f>
        <v>12</v>
      </c>
      <c r="H10" s="32">
        <f>G10/Input!$E$23</f>
        <v>5.3097345132743365</v>
      </c>
      <c r="I10" s="32"/>
      <c r="J10" s="22"/>
    </row>
    <row r="11" spans="2:10" ht="16.5">
      <c r="B11" s="18" t="s">
        <v>118</v>
      </c>
      <c r="F11" s="43">
        <f>IF('Export Details'!D105&gt;0,'Export Details'!D105,'Export Details'!F105)</f>
        <v>8.9</v>
      </c>
      <c r="G11" s="49">
        <f>IF('Export Details'!D106&gt;0,'Export Details'!D106,'Export Details'!F106)</f>
        <v>5.83</v>
      </c>
      <c r="H11" s="32">
        <f>G11/Input!$E$23</f>
        <v>2.5796460176991154</v>
      </c>
      <c r="I11" s="32"/>
      <c r="J11" s="22"/>
    </row>
    <row r="12" spans="2:10" ht="16.5">
      <c r="B12" s="18" t="s">
        <v>120</v>
      </c>
      <c r="F12" s="32">
        <f>'Export Details'!D111</f>
        <v>0</v>
      </c>
      <c r="G12" s="50">
        <f>'Export Details'!D117</f>
        <v>19.92</v>
      </c>
      <c r="H12" s="32">
        <f>G12/Input!$E$23</f>
        <v>8.8141592920354</v>
      </c>
      <c r="I12" s="32"/>
      <c r="J12" s="22"/>
    </row>
    <row r="13" spans="2:10" ht="16.5">
      <c r="B13" s="18" t="s">
        <v>139</v>
      </c>
      <c r="F13" s="43">
        <f>'Export Details'!D120</f>
        <v>0</v>
      </c>
      <c r="G13" s="49">
        <f>'Export Details'!D122</f>
        <v>0</v>
      </c>
      <c r="H13" s="32">
        <f>G13/Input!$E$23</f>
        <v>0</v>
      </c>
      <c r="I13" s="32"/>
      <c r="J13" s="22"/>
    </row>
    <row r="14" spans="2:10" ht="16.5">
      <c r="B14" s="18" t="s">
        <v>140</v>
      </c>
      <c r="F14" s="32">
        <f>'Export Details'!D128</f>
        <v>4.593333333333333</v>
      </c>
      <c r="G14" s="50">
        <f>'Export Details'!D133</f>
        <v>17.53333333333333</v>
      </c>
      <c r="H14" s="32">
        <f>G14/Input!$E$23</f>
        <v>7.75811209439528</v>
      </c>
      <c r="I14" s="32"/>
      <c r="J14" s="22"/>
    </row>
    <row r="15" spans="2:10" ht="16.5">
      <c r="B15" s="18" t="s">
        <v>135</v>
      </c>
      <c r="F15" s="43">
        <f>'Export Details'!D138</f>
        <v>1.36</v>
      </c>
      <c r="G15" s="49">
        <f>'Export Details'!D145</f>
        <v>0.25</v>
      </c>
      <c r="H15" s="32">
        <f>G15/Input!$E$23</f>
        <v>0.11061946902654868</v>
      </c>
      <c r="I15" s="32"/>
      <c r="J15" s="22"/>
    </row>
    <row r="16" spans="2:10" ht="16.5">
      <c r="B16" s="18" t="s">
        <v>136</v>
      </c>
      <c r="F16" s="32">
        <f>'Export Details'!D149</f>
        <v>2</v>
      </c>
      <c r="G16" s="50">
        <f>'Export Details'!D149</f>
        <v>2</v>
      </c>
      <c r="H16" s="32">
        <f>G16/Input!$E$23</f>
        <v>0.8849557522123894</v>
      </c>
      <c r="I16" s="32"/>
      <c r="J16" s="22"/>
    </row>
    <row r="17" spans="2:10" ht="16.5">
      <c r="B17" s="18" t="s">
        <v>137</v>
      </c>
      <c r="F17" s="33">
        <f>'Export Details'!D155</f>
        <v>6.5</v>
      </c>
      <c r="G17" s="51">
        <f>'Export Details'!D155</f>
        <v>6.5</v>
      </c>
      <c r="H17" s="33">
        <f>G17/Input!$E$23</f>
        <v>2.8761061946902657</v>
      </c>
      <c r="I17" s="32"/>
      <c r="J17" s="22"/>
    </row>
    <row r="18" spans="2:10" ht="16.5">
      <c r="B18" s="18" t="s">
        <v>38</v>
      </c>
      <c r="F18" s="25">
        <f>ROUND(SUM(F7:F17),2)</f>
        <v>65.55</v>
      </c>
      <c r="G18" s="48">
        <f>ROUND(SUM(G7:G17),2)</f>
        <v>110.56</v>
      </c>
      <c r="H18" s="48">
        <f>ROUND(SUM(H7:H17),2)</f>
        <v>48.92</v>
      </c>
      <c r="I18" s="48"/>
      <c r="J18" s="22"/>
    </row>
    <row r="19" spans="2:10" ht="16.5">
      <c r="B19" s="18" t="s">
        <v>141</v>
      </c>
      <c r="F19" s="33">
        <f>'Export Details'!D164</f>
        <v>1.802625</v>
      </c>
      <c r="G19" s="51">
        <f>'Export Details'!D169</f>
        <v>3.0404</v>
      </c>
      <c r="H19" s="33">
        <f>G19/Input!$E$23</f>
        <v>1.3453097345132745</v>
      </c>
      <c r="I19" s="32"/>
      <c r="J19" s="22"/>
    </row>
    <row r="20" spans="2:10" ht="16.5">
      <c r="B20" s="7" t="s">
        <v>39</v>
      </c>
      <c r="F20" s="36">
        <f>F18+F19</f>
        <v>67.352625</v>
      </c>
      <c r="G20" s="52">
        <f>G18+G19</f>
        <v>113.60040000000001</v>
      </c>
      <c r="H20" s="27">
        <f>H18+H19</f>
        <v>50.265309734513274</v>
      </c>
      <c r="I20" s="27"/>
      <c r="J20" s="22"/>
    </row>
    <row r="21" spans="2:10" ht="16.5">
      <c r="B21" s="18"/>
      <c r="C21" s="18"/>
      <c r="D21" s="18"/>
      <c r="E21" s="18"/>
      <c r="F21" s="18"/>
      <c r="G21" s="47"/>
      <c r="J21" s="23"/>
    </row>
    <row r="22" spans="1:10" ht="16.5">
      <c r="A22" s="7" t="s">
        <v>58</v>
      </c>
      <c r="B22" s="1"/>
      <c r="G22" s="54"/>
      <c r="J22" s="23"/>
    </row>
    <row r="23" spans="1:10" ht="16.5">
      <c r="A23" s="24" t="s">
        <v>74</v>
      </c>
      <c r="B23" s="7"/>
      <c r="C23" s="18"/>
      <c r="D23" s="18"/>
      <c r="E23" s="18"/>
      <c r="F23" s="18"/>
      <c r="G23" s="47"/>
      <c r="J23" s="23"/>
    </row>
    <row r="24" spans="1:10" ht="16.5">
      <c r="A24" s="18"/>
      <c r="B24" s="18" t="s">
        <v>40</v>
      </c>
      <c r="C24" s="18"/>
      <c r="D24" s="18"/>
      <c r="E24" s="18"/>
      <c r="F24" s="25">
        <f>'Export Details'!D201</f>
        <v>26.09</v>
      </c>
      <c r="G24" s="48">
        <f>'Export Details'!D201</f>
        <v>26.09</v>
      </c>
      <c r="H24" s="32">
        <f>G24/Input!$E$23</f>
        <v>11.54424778761062</v>
      </c>
      <c r="I24" s="32"/>
      <c r="J24" s="21"/>
    </row>
    <row r="25" spans="1:10" ht="16.5">
      <c r="A25" s="18"/>
      <c r="B25" s="18" t="s">
        <v>41</v>
      </c>
      <c r="C25" s="18"/>
      <c r="D25" s="18"/>
      <c r="E25" s="18"/>
      <c r="F25" s="25">
        <f>'Export Details'!D207</f>
        <v>6.75</v>
      </c>
      <c r="G25" s="48">
        <f>'Export Details'!D207</f>
        <v>6.75</v>
      </c>
      <c r="H25" s="32">
        <f>G25/Input!$E$23</f>
        <v>2.9867256637168142</v>
      </c>
      <c r="I25" s="32"/>
      <c r="J25" s="22"/>
    </row>
    <row r="26" spans="1:10" ht="16.5">
      <c r="A26" s="24" t="s">
        <v>73</v>
      </c>
      <c r="B26" s="7"/>
      <c r="C26" s="18"/>
      <c r="D26" s="18"/>
      <c r="E26" s="18"/>
      <c r="F26" s="18"/>
      <c r="G26" s="47"/>
      <c r="H26" s="32"/>
      <c r="I26" s="32"/>
      <c r="J26" s="23"/>
    </row>
    <row r="27" spans="1:10" ht="16.5">
      <c r="A27" s="18"/>
      <c r="B27" s="18" t="s">
        <v>42</v>
      </c>
      <c r="C27" s="18"/>
      <c r="D27" s="18"/>
      <c r="E27" s="18"/>
      <c r="F27" s="25">
        <f>'Export Details'!D216</f>
        <v>16</v>
      </c>
      <c r="G27" s="48">
        <f>'Export Details'!D216</f>
        <v>16</v>
      </c>
      <c r="H27" s="32">
        <f>G27/Input!$E$23</f>
        <v>7.079646017699115</v>
      </c>
      <c r="I27" s="32"/>
      <c r="J27" s="21"/>
    </row>
    <row r="28" spans="1:10" ht="16.5">
      <c r="A28" s="18"/>
      <c r="B28" s="18" t="s">
        <v>43</v>
      </c>
      <c r="C28" s="18"/>
      <c r="D28" s="18"/>
      <c r="E28" s="18"/>
      <c r="F28" s="25">
        <f>'Export Details'!D223</f>
        <v>6.38</v>
      </c>
      <c r="G28" s="48">
        <f>'Export Details'!D223</f>
        <v>6.38</v>
      </c>
      <c r="H28" s="32">
        <f>G28/Input!$E$23</f>
        <v>2.8230088495575223</v>
      </c>
      <c r="I28" s="32"/>
      <c r="J28" s="22"/>
    </row>
    <row r="29" spans="1:10" ht="16.5">
      <c r="A29" s="18"/>
      <c r="B29" s="18" t="s">
        <v>60</v>
      </c>
      <c r="C29" s="18"/>
      <c r="D29" s="18"/>
      <c r="E29" s="18"/>
      <c r="F29" s="26">
        <f>'Export Details'!D230</f>
        <v>3.3000000000000003</v>
      </c>
      <c r="G29" s="55">
        <f>'Export Details'!D230</f>
        <v>3.3000000000000003</v>
      </c>
      <c r="H29" s="33">
        <f>G29/Input!$E$23</f>
        <v>1.4601769911504427</v>
      </c>
      <c r="I29" s="33"/>
      <c r="J29" s="22"/>
    </row>
    <row r="30" spans="1:10" ht="16.5">
      <c r="A30" s="18"/>
      <c r="B30" s="7" t="s">
        <v>44</v>
      </c>
      <c r="C30" s="18"/>
      <c r="D30" s="18"/>
      <c r="E30" s="18"/>
      <c r="F30" s="27">
        <f>SUM(F24:F29)</f>
        <v>58.52</v>
      </c>
      <c r="G30" s="53">
        <f>SUM(G24:G29)</f>
        <v>58.52</v>
      </c>
      <c r="H30" s="40">
        <f>SUM(H24:H29)</f>
        <v>25.893805309734518</v>
      </c>
      <c r="I30" s="40"/>
      <c r="J30" s="22"/>
    </row>
    <row r="31" spans="2:10" ht="16.5">
      <c r="B31" s="18"/>
      <c r="C31" s="18"/>
      <c r="D31" s="18"/>
      <c r="E31" s="18"/>
      <c r="F31" s="18"/>
      <c r="G31" s="47"/>
      <c r="J31" s="23"/>
    </row>
    <row r="32" spans="1:10" ht="16.5">
      <c r="A32" s="7" t="s">
        <v>82</v>
      </c>
      <c r="B32" s="1"/>
      <c r="C32" s="1"/>
      <c r="D32" s="1"/>
      <c r="E32" s="1"/>
      <c r="F32" s="36">
        <f>'Export Details'!D235</f>
        <v>15</v>
      </c>
      <c r="G32" s="52">
        <f>'Export Details'!D239</f>
        <v>12</v>
      </c>
      <c r="H32" s="36">
        <f>G32/Input!$E$23</f>
        <v>5.3097345132743365</v>
      </c>
      <c r="I32" s="36"/>
      <c r="J32" s="21"/>
    </row>
    <row r="33" spans="2:10" ht="16.5">
      <c r="B33" s="18"/>
      <c r="C33" s="18"/>
      <c r="D33" s="18"/>
      <c r="E33" s="18"/>
      <c r="F33" s="18"/>
      <c r="G33" s="47"/>
      <c r="J33" s="23"/>
    </row>
    <row r="34" spans="1:10" ht="16.5">
      <c r="A34" s="7" t="s">
        <v>83</v>
      </c>
      <c r="B34" s="1"/>
      <c r="C34" s="18"/>
      <c r="D34" s="18"/>
      <c r="E34" s="18"/>
      <c r="F34" s="27">
        <f>F20+F30+F32</f>
        <v>140.872625</v>
      </c>
      <c r="G34" s="53">
        <f>G20+G30+G32</f>
        <v>184.12040000000002</v>
      </c>
      <c r="H34" s="40">
        <f>H20+H30+H32</f>
        <v>81.46884955752212</v>
      </c>
      <c r="I34" s="40"/>
      <c r="J34" s="21"/>
    </row>
    <row r="36" spans="2:10" ht="16.5">
      <c r="B36" s="62" t="str">
        <f>"1. The cost of establishing the crop, $"&amp;FIXED(F34,2)&amp;", was spread over "&amp;COUNT(Input!D15:D21)&amp;" years at $"&amp;FIXED(G7,2)&amp;" per year."</f>
        <v>1. The cost of establishing the crop, $140.87, was spread over 7 years at $20.12 per year.</v>
      </c>
      <c r="C36" s="70"/>
      <c r="D36" s="70"/>
      <c r="E36" s="70"/>
      <c r="F36" s="70"/>
      <c r="G36" s="70"/>
      <c r="H36" s="70"/>
      <c r="I36" s="70"/>
      <c r="J36" s="70"/>
    </row>
    <row r="37" spans="2:10" ht="16.5">
      <c r="B37" s="59"/>
      <c r="C37" s="59"/>
      <c r="D37" s="59"/>
      <c r="E37" s="59"/>
      <c r="F37" s="59"/>
      <c r="G37" s="59"/>
      <c r="H37" s="59"/>
      <c r="I37" s="59"/>
      <c r="J37" s="59"/>
    </row>
    <row r="38" spans="2:11" ht="16.5">
      <c r="B38" s="140" t="s">
        <v>213</v>
      </c>
      <c r="C38" s="141"/>
      <c r="D38" s="141"/>
      <c r="E38" s="141"/>
      <c r="F38" s="141"/>
      <c r="G38" s="141"/>
      <c r="H38" s="141"/>
      <c r="I38" s="141"/>
      <c r="J38" s="141"/>
      <c r="K38" s="73"/>
    </row>
    <row r="39" spans="2:11" ht="16.5">
      <c r="B39" s="141"/>
      <c r="C39" s="141"/>
      <c r="D39" s="141"/>
      <c r="E39" s="141"/>
      <c r="F39" s="141"/>
      <c r="G39" s="141"/>
      <c r="H39" s="141"/>
      <c r="I39" s="141"/>
      <c r="J39" s="141"/>
      <c r="K39" s="45"/>
    </row>
    <row r="40" spans="2:11" ht="16.5">
      <c r="B40" s="45"/>
      <c r="C40" s="45"/>
      <c r="D40" s="45"/>
      <c r="E40" s="45"/>
      <c r="F40" s="45"/>
      <c r="G40" s="45"/>
      <c r="H40" s="45"/>
      <c r="I40" s="45"/>
      <c r="J40" s="45"/>
      <c r="K40" s="45"/>
    </row>
    <row r="41" spans="2:11" ht="16.5">
      <c r="B41" s="45"/>
      <c r="C41" s="45"/>
      <c r="D41" s="45"/>
      <c r="E41" s="45"/>
      <c r="F41" s="45"/>
      <c r="G41" s="45"/>
      <c r="H41" s="45"/>
      <c r="I41" s="45"/>
      <c r="J41" s="45"/>
      <c r="K41" s="45"/>
    </row>
  </sheetData>
  <sheetProtection password="C7C6" sheet="1" objects="1" scenarios="1"/>
  <mergeCells count="2">
    <mergeCell ref="B2:J2"/>
    <mergeCell ref="B38:J39"/>
  </mergeCells>
  <printOptions/>
  <pageMargins left="0.7480314960629921" right="0.7480314960629921" top="0.984251968503937" bottom="0.984251968503937" header="0.5118110236220472" footer="0.5118110236220472"/>
  <pageSetup firstPageNumber="2" useFirstPageNumber="1" fitToHeight="1" fitToWidth="1" horizontalDpi="300" verticalDpi="300" orientation="portrait" scale="95" r:id="rId1"/>
  <headerFooter alignWithMargins="0">
    <oddHeader>&amp;LGuidelines: Export Timothy Hay Costs&amp;R&amp;P</oddHeader>
    <oddFooter>&amp;RManitoba Agriculture, Food and Rural Initiatives
 &amp;"Arial,Italic"Farm Management</oddFooter>
  </headerFooter>
</worksheet>
</file>

<file path=xl/worksheets/sheet3.xml><?xml version="1.0" encoding="utf-8"?>
<worksheet xmlns="http://schemas.openxmlformats.org/spreadsheetml/2006/main" xmlns:r="http://schemas.openxmlformats.org/officeDocument/2006/relationships">
  <sheetPr codeName="Sheet1"/>
  <dimension ref="A3:J142"/>
  <sheetViews>
    <sheetView showGridLines="0" workbookViewId="0" topLeftCell="A1">
      <selection activeCell="A1" sqref="A1"/>
    </sheetView>
  </sheetViews>
  <sheetFormatPr defaultColWidth="8.88671875" defaultRowHeight="15"/>
  <cols>
    <col min="1" max="1" width="2.77734375" style="6" customWidth="1"/>
    <col min="2" max="2" width="12.3359375" style="6" customWidth="1"/>
    <col min="3" max="3" width="9.21484375" style="6" customWidth="1"/>
    <col min="4" max="4" width="9.77734375" style="6" customWidth="1"/>
    <col min="5" max="5" width="11.4453125" style="6" customWidth="1"/>
    <col min="6" max="16384" width="9.77734375" style="6" customWidth="1"/>
  </cols>
  <sheetData>
    <row r="3" spans="1:7" ht="18">
      <c r="A3" s="142" t="s">
        <v>96</v>
      </c>
      <c r="B3" s="143"/>
      <c r="C3" s="143"/>
      <c r="D3" s="143"/>
      <c r="E3" s="143"/>
      <c r="F3" s="143"/>
      <c r="G3" s="143"/>
    </row>
    <row r="5" ht="15.75">
      <c r="B5" s="7" t="s">
        <v>84</v>
      </c>
    </row>
    <row r="6" ht="15">
      <c r="B6" s="6" t="s">
        <v>0</v>
      </c>
    </row>
    <row r="7" spans="2:6" ht="15.75">
      <c r="B7" s="7" t="s">
        <v>87</v>
      </c>
      <c r="E7" s="35" t="s">
        <v>97</v>
      </c>
      <c r="F7" s="35"/>
    </row>
    <row r="8" spans="5:6" ht="15.75">
      <c r="E8" s="6" t="s">
        <v>1</v>
      </c>
      <c r="F8" s="30"/>
    </row>
    <row r="9" spans="2:6" ht="15.75">
      <c r="B9" s="6" t="s">
        <v>86</v>
      </c>
      <c r="E9" s="3">
        <v>600</v>
      </c>
      <c r="F9" s="30"/>
    </row>
    <row r="10" spans="2:6" ht="15.75">
      <c r="B10" s="6" t="s">
        <v>93</v>
      </c>
      <c r="E10" s="3">
        <v>1500</v>
      </c>
      <c r="F10" s="60"/>
    </row>
    <row r="11" spans="2:6" ht="15.75">
      <c r="B11" s="6" t="s">
        <v>85</v>
      </c>
      <c r="E11" s="4">
        <v>0.48</v>
      </c>
      <c r="F11" s="31"/>
    </row>
    <row r="12" spans="5:6" ht="15.75">
      <c r="E12" s="87"/>
      <c r="F12" s="31"/>
    </row>
    <row r="14" spans="2:6" ht="15.75">
      <c r="B14" s="10" t="s">
        <v>98</v>
      </c>
      <c r="D14" s="35" t="s">
        <v>99</v>
      </c>
      <c r="E14" s="35" t="s">
        <v>159</v>
      </c>
      <c r="F14" s="88"/>
    </row>
    <row r="15" spans="4:5" ht="15.75">
      <c r="D15" s="82">
        <v>1</v>
      </c>
      <c r="E15" s="66">
        <v>0.8</v>
      </c>
    </row>
    <row r="16" spans="4:5" ht="15.75">
      <c r="D16" s="82">
        <v>2</v>
      </c>
      <c r="E16" s="66">
        <v>2.5</v>
      </c>
    </row>
    <row r="17" spans="4:5" ht="15.75">
      <c r="D17" s="82">
        <v>3</v>
      </c>
      <c r="E17" s="66">
        <v>2.5</v>
      </c>
    </row>
    <row r="18" spans="4:5" ht="15.75">
      <c r="D18" s="82">
        <v>4</v>
      </c>
      <c r="E18" s="66">
        <v>2.5</v>
      </c>
    </row>
    <row r="19" spans="4:5" ht="15.75">
      <c r="D19" s="82">
        <v>5</v>
      </c>
      <c r="E19" s="66">
        <v>2.5</v>
      </c>
    </row>
    <row r="20" spans="4:5" ht="15.75">
      <c r="D20" s="82">
        <v>6</v>
      </c>
      <c r="E20" s="66">
        <v>2.5</v>
      </c>
    </row>
    <row r="21" spans="4:6" ht="15.75">
      <c r="D21" s="82">
        <v>7</v>
      </c>
      <c r="E21" s="67">
        <v>2.5</v>
      </c>
      <c r="F21" s="42"/>
    </row>
    <row r="22" spans="4:5" ht="15.75">
      <c r="D22" s="12" t="s">
        <v>100</v>
      </c>
      <c r="E22" s="34">
        <f>SUM(E15:E21)</f>
        <v>15.8</v>
      </c>
    </row>
    <row r="23" spans="4:6" ht="15.75">
      <c r="D23" s="12" t="s">
        <v>101</v>
      </c>
      <c r="E23" s="89">
        <f>ROUND(E22/COUNTA(E15:E21),2)</f>
        <v>2.26</v>
      </c>
      <c r="F23" s="90"/>
    </row>
    <row r="25" ht="15.75">
      <c r="A25" s="7" t="s">
        <v>45</v>
      </c>
    </row>
    <row r="27" spans="2:6" ht="15.75">
      <c r="B27" s="8" t="s">
        <v>2</v>
      </c>
      <c r="E27" s="35"/>
      <c r="F27" s="35"/>
    </row>
    <row r="28" spans="2:7" ht="15.75">
      <c r="B28" s="6" t="s">
        <v>102</v>
      </c>
      <c r="E28" s="39">
        <v>2</v>
      </c>
      <c r="F28" s="91"/>
      <c r="G28" s="9"/>
    </row>
    <row r="29" spans="2:7" ht="15.75">
      <c r="B29" s="6" t="s">
        <v>4</v>
      </c>
      <c r="E29" s="4">
        <v>4</v>
      </c>
      <c r="F29" s="31"/>
      <c r="G29" s="9"/>
    </row>
    <row r="30" spans="2:6" ht="15.75">
      <c r="B30" s="6" t="s">
        <v>132</v>
      </c>
      <c r="E30" s="4">
        <v>3</v>
      </c>
      <c r="F30" s="30"/>
    </row>
    <row r="32" spans="2:6" ht="15.75">
      <c r="B32" s="8" t="s">
        <v>5</v>
      </c>
      <c r="E32" s="34"/>
      <c r="F32" s="34"/>
    </row>
    <row r="33" spans="2:6" ht="15.75">
      <c r="B33" s="7" t="s">
        <v>191</v>
      </c>
      <c r="E33" s="28">
        <v>1</v>
      </c>
      <c r="F33" s="7" t="s">
        <v>189</v>
      </c>
    </row>
    <row r="34" spans="2:6" ht="15.75">
      <c r="B34" s="8"/>
      <c r="E34" s="34"/>
      <c r="F34" s="34"/>
    </row>
    <row r="35" spans="2:6" ht="15.75">
      <c r="B35" s="34" t="s">
        <v>103</v>
      </c>
      <c r="C35" s="10"/>
      <c r="D35" s="11" t="s">
        <v>160</v>
      </c>
      <c r="E35" s="35" t="s">
        <v>3</v>
      </c>
      <c r="F35" s="35"/>
    </row>
    <row r="36" spans="3:6" ht="15.75">
      <c r="C36" s="6" t="s">
        <v>7</v>
      </c>
      <c r="D36" s="75">
        <v>0.33</v>
      </c>
      <c r="E36" s="5">
        <v>20</v>
      </c>
      <c r="F36" s="30"/>
    </row>
    <row r="37" spans="3:6" ht="15.75">
      <c r="C37" s="6" t="s">
        <v>8</v>
      </c>
      <c r="D37" s="75">
        <v>0.28</v>
      </c>
      <c r="E37" s="5">
        <v>20</v>
      </c>
      <c r="F37" s="30"/>
    </row>
    <row r="38" spans="3:6" ht="15.75">
      <c r="C38" s="6" t="s">
        <v>9</v>
      </c>
      <c r="D38" s="75">
        <v>0.15</v>
      </c>
      <c r="E38" s="5">
        <v>0</v>
      </c>
      <c r="F38" s="30"/>
    </row>
    <row r="39" spans="3:6" ht="15.75">
      <c r="C39" s="6" t="s">
        <v>10</v>
      </c>
      <c r="D39" s="75">
        <v>0.26</v>
      </c>
      <c r="E39" s="5">
        <v>0</v>
      </c>
      <c r="F39" s="30"/>
    </row>
    <row r="40" spans="3:6" ht="15.75">
      <c r="C40" s="6" t="s">
        <v>11</v>
      </c>
      <c r="D40" s="75">
        <v>1.5</v>
      </c>
      <c r="E40" s="5">
        <v>0</v>
      </c>
      <c r="F40" s="30"/>
    </row>
    <row r="42" spans="2:6" ht="15.75">
      <c r="B42" s="34" t="s">
        <v>104</v>
      </c>
      <c r="E42" s="34"/>
      <c r="F42" s="34"/>
    </row>
    <row r="43" spans="4:6" ht="15.75">
      <c r="D43" s="11" t="s">
        <v>160</v>
      </c>
      <c r="E43" s="35" t="s">
        <v>3</v>
      </c>
      <c r="F43" s="35"/>
    </row>
    <row r="44" spans="3:6" ht="15.75">
      <c r="C44" s="6" t="s">
        <v>7</v>
      </c>
      <c r="D44" s="76">
        <v>0.33</v>
      </c>
      <c r="E44" s="5">
        <v>60</v>
      </c>
      <c r="F44" s="30"/>
    </row>
    <row r="45" spans="3:6" ht="15.75">
      <c r="C45" s="6" t="s">
        <v>8</v>
      </c>
      <c r="D45" s="76">
        <v>0.28</v>
      </c>
      <c r="E45" s="5">
        <v>20</v>
      </c>
      <c r="F45" s="30"/>
    </row>
    <row r="46" spans="3:6" ht="15.75">
      <c r="C46" s="6" t="s">
        <v>9</v>
      </c>
      <c r="D46" s="76">
        <v>0.15</v>
      </c>
      <c r="E46" s="5">
        <v>0</v>
      </c>
      <c r="F46" s="30"/>
    </row>
    <row r="47" spans="3:6" ht="15.75">
      <c r="C47" s="6" t="s">
        <v>10</v>
      </c>
      <c r="D47" s="76">
        <v>0.26</v>
      </c>
      <c r="E47" s="5">
        <v>0</v>
      </c>
      <c r="F47" s="30"/>
    </row>
    <row r="48" spans="3:6" ht="15.75">
      <c r="C48" s="6" t="s">
        <v>11</v>
      </c>
      <c r="D48" s="75">
        <v>1.5</v>
      </c>
      <c r="E48" s="5">
        <v>0</v>
      </c>
      <c r="F48" s="30"/>
    </row>
    <row r="50" spans="2:6" ht="15.75">
      <c r="B50" s="8" t="s">
        <v>105</v>
      </c>
      <c r="E50" s="34"/>
      <c r="F50" s="34"/>
    </row>
    <row r="51" spans="2:6" ht="15.75">
      <c r="B51" s="29"/>
      <c r="E51" s="35" t="s">
        <v>95</v>
      </c>
      <c r="F51" s="35"/>
    </row>
    <row r="52" spans="2:6" ht="15.75">
      <c r="B52" s="12" t="s">
        <v>103</v>
      </c>
      <c r="E52" s="87"/>
      <c r="F52" s="87"/>
    </row>
    <row r="53" spans="3:6" ht="15.75">
      <c r="C53" s="9" t="s">
        <v>106</v>
      </c>
      <c r="E53" s="4">
        <v>10</v>
      </c>
      <c r="F53" s="87"/>
    </row>
    <row r="54" spans="3:6" ht="15.75">
      <c r="C54" s="6" t="s">
        <v>107</v>
      </c>
      <c r="E54" s="28">
        <v>8</v>
      </c>
      <c r="F54" s="31"/>
    </row>
    <row r="55" spans="2:6" ht="15.75">
      <c r="B55" s="12" t="s">
        <v>104</v>
      </c>
      <c r="C55" s="9"/>
      <c r="E55" s="87"/>
      <c r="F55" s="87"/>
    </row>
    <row r="56" spans="3:6" ht="15.75">
      <c r="C56" s="9" t="s">
        <v>106</v>
      </c>
      <c r="E56" s="4">
        <v>12</v>
      </c>
      <c r="F56" s="87"/>
    </row>
    <row r="58" spans="5:6" ht="15.75">
      <c r="E58" s="31"/>
      <c r="F58" s="31"/>
    </row>
    <row r="59" ht="15.75">
      <c r="B59" s="8" t="s">
        <v>108</v>
      </c>
    </row>
    <row r="60" spans="2:7" ht="15.75">
      <c r="B60" s="8"/>
      <c r="C60" s="6" t="s">
        <v>163</v>
      </c>
      <c r="G60" s="28">
        <v>0</v>
      </c>
    </row>
    <row r="61" spans="2:7" ht="15.75">
      <c r="B61" s="8"/>
      <c r="C61" s="6" t="s">
        <v>164</v>
      </c>
      <c r="G61" s="28">
        <v>0</v>
      </c>
    </row>
    <row r="62" ht="15.75">
      <c r="B62" s="8"/>
    </row>
    <row r="63" spans="2:6" ht="15.75">
      <c r="B63" s="6" t="s">
        <v>14</v>
      </c>
      <c r="F63" s="93">
        <f>E11</f>
        <v>0.48</v>
      </c>
    </row>
    <row r="65" spans="2:10" ht="15.75">
      <c r="B65" s="7" t="s">
        <v>15</v>
      </c>
      <c r="C65" s="34" t="s">
        <v>16</v>
      </c>
      <c r="D65" s="34" t="s">
        <v>17</v>
      </c>
      <c r="E65" s="34" t="s">
        <v>18</v>
      </c>
      <c r="F65" s="34" t="s">
        <v>19</v>
      </c>
      <c r="G65" s="7"/>
      <c r="H65" s="34"/>
      <c r="I65" s="34"/>
      <c r="J65" s="34"/>
    </row>
    <row r="66" spans="2:10" ht="15.75">
      <c r="B66" s="10" t="s">
        <v>20</v>
      </c>
      <c r="C66" s="35" t="s">
        <v>21</v>
      </c>
      <c r="D66" s="35" t="s">
        <v>22</v>
      </c>
      <c r="E66" s="35" t="s">
        <v>23</v>
      </c>
      <c r="F66" s="35" t="s">
        <v>24</v>
      </c>
      <c r="G66" s="10"/>
      <c r="H66" s="35"/>
      <c r="I66" s="35"/>
      <c r="J66" s="35"/>
    </row>
    <row r="67" ht="15.75">
      <c r="B67" s="7" t="s">
        <v>103</v>
      </c>
    </row>
    <row r="68" spans="2:6" ht="15.75">
      <c r="B68" s="6" t="s">
        <v>26</v>
      </c>
      <c r="C68" s="5">
        <v>1</v>
      </c>
      <c r="D68" s="5">
        <v>90</v>
      </c>
      <c r="E68" s="5">
        <v>10</v>
      </c>
      <c r="F68" s="5">
        <v>150</v>
      </c>
    </row>
    <row r="69" spans="2:6" ht="15.75">
      <c r="B69" s="6" t="s">
        <v>103</v>
      </c>
      <c r="C69" s="5">
        <v>1</v>
      </c>
      <c r="D69" s="5">
        <v>40</v>
      </c>
      <c r="E69" s="5">
        <v>7</v>
      </c>
      <c r="F69" s="5">
        <v>90</v>
      </c>
    </row>
    <row r="70" spans="2:6" ht="15.75">
      <c r="B70" s="6" t="s">
        <v>25</v>
      </c>
      <c r="C70" s="5">
        <v>1</v>
      </c>
      <c r="D70" s="5">
        <v>48</v>
      </c>
      <c r="E70" s="5">
        <v>5</v>
      </c>
      <c r="F70" s="5">
        <v>250</v>
      </c>
    </row>
    <row r="71" spans="2:6" ht="15.75">
      <c r="B71" s="6" t="s">
        <v>25</v>
      </c>
      <c r="C71" s="5">
        <v>1</v>
      </c>
      <c r="D71" s="5">
        <v>48</v>
      </c>
      <c r="E71" s="5">
        <v>5</v>
      </c>
      <c r="F71" s="5">
        <v>250</v>
      </c>
    </row>
    <row r="72" spans="2:6" ht="15.75">
      <c r="B72" s="6" t="s">
        <v>6</v>
      </c>
      <c r="C72" s="5">
        <v>1</v>
      </c>
      <c r="D72" s="5">
        <v>40</v>
      </c>
      <c r="E72" s="5">
        <v>8</v>
      </c>
      <c r="F72" s="5">
        <v>150</v>
      </c>
    </row>
    <row r="73" spans="2:6" ht="15.75">
      <c r="B73" s="6" t="s">
        <v>109</v>
      </c>
      <c r="C73" s="5">
        <v>1</v>
      </c>
      <c r="D73" s="5">
        <v>60</v>
      </c>
      <c r="E73" s="5">
        <v>7</v>
      </c>
      <c r="F73" s="5">
        <v>150</v>
      </c>
    </row>
    <row r="74" spans="2:6" ht="15.75">
      <c r="B74" s="6" t="s">
        <v>26</v>
      </c>
      <c r="C74" s="5">
        <v>1</v>
      </c>
      <c r="D74" s="5">
        <v>90</v>
      </c>
      <c r="E74" s="5">
        <v>10</v>
      </c>
      <c r="F74" s="5">
        <v>150</v>
      </c>
    </row>
    <row r="75" spans="2:6" ht="15.75">
      <c r="B75" s="6" t="s">
        <v>110</v>
      </c>
      <c r="C75" s="5">
        <v>1</v>
      </c>
      <c r="D75" s="5">
        <v>12</v>
      </c>
      <c r="E75" s="5">
        <v>5</v>
      </c>
      <c r="F75" s="5">
        <v>150</v>
      </c>
    </row>
    <row r="76" spans="2:6" ht="15.75">
      <c r="B76" s="6" t="s">
        <v>111</v>
      </c>
      <c r="C76" s="5">
        <v>1</v>
      </c>
      <c r="D76" s="5">
        <v>12</v>
      </c>
      <c r="E76" s="5">
        <v>7</v>
      </c>
      <c r="F76" s="5">
        <v>150</v>
      </c>
    </row>
    <row r="77" spans="3:6" ht="15.75">
      <c r="C77" s="30"/>
      <c r="D77" s="30"/>
      <c r="E77" s="30"/>
      <c r="F77" s="30"/>
    </row>
    <row r="78" ht="15.75">
      <c r="B78" s="7" t="s">
        <v>104</v>
      </c>
    </row>
    <row r="79" spans="2:6" ht="15.75">
      <c r="B79" s="6" t="s">
        <v>6</v>
      </c>
      <c r="C79" s="5">
        <v>1</v>
      </c>
      <c r="D79" s="5">
        <v>40</v>
      </c>
      <c r="E79" s="5">
        <v>8</v>
      </c>
      <c r="F79" s="5">
        <v>150</v>
      </c>
    </row>
    <row r="80" spans="2:6" ht="15.75">
      <c r="B80" s="6" t="s">
        <v>26</v>
      </c>
      <c r="C80" s="5">
        <v>1</v>
      </c>
      <c r="D80" s="5">
        <v>90</v>
      </c>
      <c r="E80" s="5">
        <v>10</v>
      </c>
      <c r="F80" s="5">
        <v>150</v>
      </c>
    </row>
    <row r="81" spans="2:6" ht="15.75">
      <c r="B81" s="6" t="s">
        <v>143</v>
      </c>
      <c r="C81" s="5">
        <v>1</v>
      </c>
      <c r="D81" s="5">
        <v>12</v>
      </c>
      <c r="E81" s="5">
        <v>7</v>
      </c>
      <c r="F81" s="5">
        <v>150</v>
      </c>
    </row>
    <row r="82" spans="2:6" ht="15.75">
      <c r="B82" s="6" t="s">
        <v>117</v>
      </c>
      <c r="C82" s="5">
        <v>1.25</v>
      </c>
      <c r="D82" s="5">
        <v>12</v>
      </c>
      <c r="E82" s="5">
        <v>10</v>
      </c>
      <c r="F82" s="5">
        <v>90</v>
      </c>
    </row>
    <row r="83" spans="2:6" ht="15.75">
      <c r="B83" s="6" t="s">
        <v>111</v>
      </c>
      <c r="C83" s="5">
        <v>1</v>
      </c>
      <c r="D83" s="5">
        <v>12</v>
      </c>
      <c r="E83" s="5">
        <v>7</v>
      </c>
      <c r="F83" s="5">
        <v>150</v>
      </c>
    </row>
    <row r="84" spans="3:6" ht="15.75">
      <c r="C84" s="30"/>
      <c r="D84" s="30"/>
      <c r="E84" s="30"/>
      <c r="F84" s="30"/>
    </row>
    <row r="85" ht="15.75">
      <c r="B85" s="8" t="s">
        <v>120</v>
      </c>
    </row>
    <row r="86" spans="2:6" ht="15.75">
      <c r="B86" s="18" t="s">
        <v>155</v>
      </c>
      <c r="F86" s="28">
        <v>0</v>
      </c>
    </row>
    <row r="87" spans="2:6" ht="15.75">
      <c r="B87" s="18" t="s">
        <v>153</v>
      </c>
      <c r="F87" s="4">
        <v>3</v>
      </c>
    </row>
    <row r="88" spans="2:6" ht="15.75">
      <c r="B88" s="8"/>
      <c r="D88" s="6" t="s">
        <v>154</v>
      </c>
      <c r="F88" s="5">
        <v>750</v>
      </c>
    </row>
    <row r="89" ht="15.75">
      <c r="F89" s="87"/>
    </row>
    <row r="90" ht="15.75">
      <c r="F90" s="87"/>
    </row>
    <row r="91" spans="2:6" ht="15.75">
      <c r="B91" s="7" t="s">
        <v>146</v>
      </c>
      <c r="F91" s="87"/>
    </row>
    <row r="92" spans="2:6" ht="15.75">
      <c r="B92" s="7"/>
      <c r="C92" s="6" t="s">
        <v>145</v>
      </c>
      <c r="F92" s="4">
        <v>0</v>
      </c>
    </row>
    <row r="93" spans="3:6" ht="15.75">
      <c r="C93" s="6" t="s">
        <v>162</v>
      </c>
      <c r="F93" s="4">
        <v>0</v>
      </c>
    </row>
    <row r="95" ht="15.75">
      <c r="B95" s="8" t="s">
        <v>134</v>
      </c>
    </row>
    <row r="96" spans="3:6" ht="15.75">
      <c r="C96" s="6" t="s">
        <v>198</v>
      </c>
      <c r="F96" s="14">
        <v>0.04</v>
      </c>
    </row>
    <row r="98" ht="15.75">
      <c r="B98" s="8" t="s">
        <v>135</v>
      </c>
    </row>
    <row r="99" spans="2:7" ht="15.75">
      <c r="B99" s="8" t="s">
        <v>188</v>
      </c>
      <c r="C99" s="6" t="s">
        <v>92</v>
      </c>
      <c r="E99" s="28">
        <v>40</v>
      </c>
      <c r="F99" s="63">
        <v>1.36</v>
      </c>
      <c r="G99" s="6" t="s">
        <v>148</v>
      </c>
    </row>
    <row r="100" spans="3:7" ht="15.75">
      <c r="C100" s="6" t="s">
        <v>92</v>
      </c>
      <c r="F100" s="14">
        <v>0.5</v>
      </c>
      <c r="G100" s="6" t="s">
        <v>192</v>
      </c>
    </row>
    <row r="101" spans="6:7" ht="15.75">
      <c r="F101" s="5">
        <v>1.201</v>
      </c>
      <c r="G101" s="25" t="s">
        <v>159</v>
      </c>
    </row>
    <row r="102" spans="6:7" ht="15.75">
      <c r="F102" s="28">
        <v>61</v>
      </c>
      <c r="G102" s="25" t="s">
        <v>193</v>
      </c>
    </row>
    <row r="103" spans="6:7" ht="15.75">
      <c r="F103" s="4">
        <v>0.25</v>
      </c>
      <c r="G103" s="6" t="s">
        <v>216</v>
      </c>
    </row>
    <row r="105" spans="2:6" ht="15.75">
      <c r="B105" s="8" t="s">
        <v>136</v>
      </c>
      <c r="F105" s="4">
        <v>2</v>
      </c>
    </row>
    <row r="106" ht="15.75">
      <c r="B106" s="8"/>
    </row>
    <row r="107" spans="2:7" ht="15.75">
      <c r="B107" s="8" t="s">
        <v>137</v>
      </c>
      <c r="F107" s="4">
        <v>6.5</v>
      </c>
      <c r="G107" s="31"/>
    </row>
    <row r="108" ht="15.75">
      <c r="B108" s="8"/>
    </row>
    <row r="109" spans="2:6" ht="15.75">
      <c r="B109" s="8" t="s">
        <v>138</v>
      </c>
      <c r="F109" s="37">
        <v>0.055</v>
      </c>
    </row>
    <row r="110" spans="2:6" ht="15.75">
      <c r="B110" s="8"/>
      <c r="F110" s="77"/>
    </row>
    <row r="111" spans="2:6" ht="15.75">
      <c r="B111" s="8" t="s">
        <v>88</v>
      </c>
      <c r="F111" s="37">
        <v>0.04</v>
      </c>
    </row>
    <row r="113" spans="2:7" ht="15.75">
      <c r="B113" s="8" t="s">
        <v>29</v>
      </c>
      <c r="E113" s="12" t="s">
        <v>97</v>
      </c>
      <c r="F113" s="12" t="s">
        <v>27</v>
      </c>
      <c r="G113" s="12" t="s">
        <v>28</v>
      </c>
    </row>
    <row r="114" spans="5:7" ht="15.75">
      <c r="E114" s="11" t="s">
        <v>13</v>
      </c>
      <c r="F114" s="11" t="s">
        <v>30</v>
      </c>
      <c r="G114" s="11" t="s">
        <v>31</v>
      </c>
    </row>
    <row r="115" spans="3:5" ht="15.75">
      <c r="C115" s="6" t="s">
        <v>32</v>
      </c>
      <c r="E115" s="13">
        <v>400</v>
      </c>
    </row>
    <row r="116" spans="3:7" ht="15.75">
      <c r="C116" s="6" t="s">
        <v>33</v>
      </c>
      <c r="E116" s="64">
        <f>ROUND(F131/E9,0)</f>
        <v>290</v>
      </c>
      <c r="F116" s="5">
        <v>10</v>
      </c>
      <c r="G116" s="14">
        <v>0.1</v>
      </c>
    </row>
    <row r="117" spans="3:7" ht="15.75">
      <c r="C117" s="6" t="s">
        <v>34</v>
      </c>
      <c r="E117" s="64">
        <f>ROUND(F133/E9,0)</f>
        <v>150</v>
      </c>
      <c r="F117" s="5">
        <v>20</v>
      </c>
      <c r="G117" s="14">
        <v>0.1</v>
      </c>
    </row>
    <row r="119" spans="2:8" ht="15.75">
      <c r="B119" s="10" t="s">
        <v>36</v>
      </c>
      <c r="D119" s="34" t="s">
        <v>121</v>
      </c>
      <c r="E119" s="34" t="s">
        <v>200</v>
      </c>
      <c r="F119" s="34" t="s">
        <v>201</v>
      </c>
      <c r="G119" s="34"/>
      <c r="H119" s="34"/>
    </row>
    <row r="120" spans="2:8" ht="15.75">
      <c r="B120" s="7"/>
      <c r="D120" s="35" t="s">
        <v>31</v>
      </c>
      <c r="E120" s="10" t="s">
        <v>199</v>
      </c>
      <c r="F120" s="35" t="s">
        <v>131</v>
      </c>
      <c r="G120" s="35"/>
      <c r="H120" s="35"/>
    </row>
    <row r="121" spans="2:6" ht="15.75">
      <c r="B121" s="6" t="s">
        <v>19</v>
      </c>
      <c r="C121" s="5" t="s">
        <v>122</v>
      </c>
      <c r="D121" s="71">
        <v>180000</v>
      </c>
      <c r="E121" s="14">
        <v>0.1</v>
      </c>
      <c r="F121" s="64">
        <f>D121*E121</f>
        <v>18000</v>
      </c>
    </row>
    <row r="122" spans="2:6" ht="15.75">
      <c r="B122" s="6" t="s">
        <v>19</v>
      </c>
      <c r="C122" s="5" t="s">
        <v>123</v>
      </c>
      <c r="D122" s="71">
        <v>130000</v>
      </c>
      <c r="E122" s="14">
        <v>0.25</v>
      </c>
      <c r="F122" s="64">
        <f aca="true" t="shared" si="0" ref="F122:F130">D122*E122</f>
        <v>32500</v>
      </c>
    </row>
    <row r="123" spans="2:6" ht="15.75">
      <c r="B123" s="6" t="s">
        <v>19</v>
      </c>
      <c r="C123" s="5" t="s">
        <v>124</v>
      </c>
      <c r="D123" s="71">
        <v>70000</v>
      </c>
      <c r="E123" s="14">
        <v>0.25</v>
      </c>
      <c r="F123" s="64">
        <f t="shared" si="0"/>
        <v>17500</v>
      </c>
    </row>
    <row r="124" spans="2:6" ht="15.75">
      <c r="B124" s="6" t="s">
        <v>125</v>
      </c>
      <c r="D124" s="71">
        <v>5000</v>
      </c>
      <c r="E124" s="14">
        <v>0.1</v>
      </c>
      <c r="F124" s="64">
        <f t="shared" si="0"/>
        <v>500</v>
      </c>
    </row>
    <row r="125" spans="2:6" ht="15.75">
      <c r="B125" s="6" t="s">
        <v>144</v>
      </c>
      <c r="D125" s="71">
        <v>3000</v>
      </c>
      <c r="E125" s="14">
        <v>0.05</v>
      </c>
      <c r="F125" s="64">
        <f t="shared" si="0"/>
        <v>150</v>
      </c>
    </row>
    <row r="126" spans="2:6" ht="15.75">
      <c r="B126" s="6" t="s">
        <v>126</v>
      </c>
      <c r="D126" s="71">
        <v>5000</v>
      </c>
      <c r="E126" s="14">
        <v>0.05</v>
      </c>
      <c r="F126" s="64">
        <f t="shared" si="0"/>
        <v>250</v>
      </c>
    </row>
    <row r="127" spans="2:6" ht="15.75">
      <c r="B127" s="6" t="s">
        <v>127</v>
      </c>
      <c r="D127" s="71">
        <v>75000</v>
      </c>
      <c r="E127" s="14">
        <v>0.9</v>
      </c>
      <c r="F127" s="64">
        <f t="shared" si="0"/>
        <v>67500</v>
      </c>
    </row>
    <row r="128" spans="2:6" ht="15.75">
      <c r="B128" s="6" t="s">
        <v>128</v>
      </c>
      <c r="D128" s="71">
        <v>25000</v>
      </c>
      <c r="E128" s="14">
        <v>0.4</v>
      </c>
      <c r="F128" s="64">
        <f t="shared" si="0"/>
        <v>10000</v>
      </c>
    </row>
    <row r="129" spans="2:6" ht="15.75">
      <c r="B129" s="6" t="s">
        <v>129</v>
      </c>
      <c r="D129" s="71">
        <v>25000</v>
      </c>
      <c r="E129" s="14">
        <v>0.7</v>
      </c>
      <c r="F129" s="64">
        <f t="shared" si="0"/>
        <v>17500</v>
      </c>
    </row>
    <row r="130" spans="2:8" ht="15.75">
      <c r="B130" s="6" t="s">
        <v>147</v>
      </c>
      <c r="D130" s="72">
        <v>10000</v>
      </c>
      <c r="E130" s="14">
        <v>1</v>
      </c>
      <c r="F130" s="65">
        <f t="shared" si="0"/>
        <v>10000</v>
      </c>
      <c r="G130" s="42"/>
      <c r="H130" s="42"/>
    </row>
    <row r="131" spans="2:8" ht="15.75">
      <c r="B131" s="6" t="s">
        <v>90</v>
      </c>
      <c r="D131" s="92">
        <f>SUM(D121:D130)</f>
        <v>528000</v>
      </c>
      <c r="F131" s="64">
        <f>SUM(F121:F130)</f>
        <v>173900</v>
      </c>
      <c r="G131" s="30"/>
      <c r="H131" s="30"/>
    </row>
    <row r="133" spans="2:8" ht="15.75">
      <c r="B133" s="6" t="s">
        <v>130</v>
      </c>
      <c r="D133" s="71">
        <v>90000</v>
      </c>
      <c r="E133" s="14">
        <v>1</v>
      </c>
      <c r="F133" s="64">
        <f>D133*E133</f>
        <v>90000</v>
      </c>
      <c r="G133" s="30"/>
      <c r="H133" s="30"/>
    </row>
    <row r="136" ht="15.75">
      <c r="B136" s="8" t="s">
        <v>35</v>
      </c>
    </row>
    <row r="137" spans="2:6" ht="15.75">
      <c r="B137" s="8"/>
      <c r="E137" s="11" t="s">
        <v>97</v>
      </c>
      <c r="F137" s="11"/>
    </row>
    <row r="138" spans="2:6" ht="15.75">
      <c r="B138" s="6" t="s">
        <v>218</v>
      </c>
      <c r="C138" s="6" t="s">
        <v>65</v>
      </c>
      <c r="E138" s="4">
        <v>10</v>
      </c>
      <c r="F138" s="87"/>
    </row>
    <row r="139" spans="3:6" ht="15.75">
      <c r="C139" s="6" t="s">
        <v>66</v>
      </c>
      <c r="E139" s="5">
        <v>1.5</v>
      </c>
      <c r="F139" s="30"/>
    </row>
    <row r="141" spans="2:5" ht="15.75">
      <c r="B141" s="6" t="s">
        <v>162</v>
      </c>
      <c r="C141" s="6" t="s">
        <v>65</v>
      </c>
      <c r="E141" s="4">
        <v>10</v>
      </c>
    </row>
    <row r="142" spans="3:5" ht="15.75">
      <c r="C142" s="6" t="s">
        <v>66</v>
      </c>
      <c r="E142" s="5">
        <v>1.2</v>
      </c>
    </row>
  </sheetData>
  <sheetProtection password="C7C6" sheet="1" objects="1" scenarios="1"/>
  <mergeCells count="1">
    <mergeCell ref="A3:G3"/>
  </mergeCells>
  <printOptions/>
  <pageMargins left="0.7480314960629921" right="0.7480314960629921" top="0.984251968503937" bottom="0.984251968503937" header="0.5118110236220472" footer="0.5118110236220472"/>
  <pageSetup horizontalDpi="300" verticalDpi="300" orientation="portrait" r:id="rId1"/>
  <headerFooter alignWithMargins="0">
    <oddHeader>&amp;LGuidelines: Timothy Hay Costs&amp;R&amp;P</oddHeader>
    <oddFooter>&amp;RManitoba Agriculture, Food and Rural Initiatives
&amp;"Arial,Italic"Farm Managemen&amp;"Arial,Regular"t</oddFooter>
  </headerFooter>
  <rowBreaks count="1" manualBreakCount="1">
    <brk id="106" max="255" man="1"/>
  </rowBreaks>
</worksheet>
</file>

<file path=xl/worksheets/sheet4.xml><?xml version="1.0" encoding="utf-8"?>
<worksheet xmlns="http://schemas.openxmlformats.org/spreadsheetml/2006/main" xmlns:r="http://schemas.openxmlformats.org/officeDocument/2006/relationships">
  <sheetPr codeName="Sheet31"/>
  <dimension ref="A2:M248"/>
  <sheetViews>
    <sheetView showGridLines="0" workbookViewId="0" topLeftCell="A1">
      <selection activeCell="A1" sqref="A1"/>
    </sheetView>
  </sheetViews>
  <sheetFormatPr defaultColWidth="8.88671875" defaultRowHeight="15"/>
  <cols>
    <col min="1" max="1" width="3.10546875" style="18" customWidth="1"/>
    <col min="2" max="2" width="15.6640625" style="18" customWidth="1"/>
    <col min="3" max="3" width="3.5546875" style="18" customWidth="1"/>
    <col min="4" max="4" width="9.88671875" style="18" customWidth="1"/>
    <col min="5" max="5" width="2.21484375" style="18" customWidth="1"/>
    <col min="6" max="6" width="12.6640625" style="18" customWidth="1"/>
    <col min="7" max="7" width="10.4453125" style="18" customWidth="1"/>
    <col min="8" max="8" width="9.88671875" style="18" customWidth="1"/>
    <col min="9" max="9" width="11.4453125" style="18" customWidth="1"/>
    <col min="10" max="10" width="8.88671875" style="18" customWidth="1"/>
    <col min="11" max="11" width="10.4453125" style="18" customWidth="1"/>
    <col min="12" max="16384" width="8.88671875" style="18" customWidth="1"/>
  </cols>
  <sheetData>
    <row r="2" spans="1:9" ht="18">
      <c r="A2" s="142" t="s">
        <v>209</v>
      </c>
      <c r="B2" s="144"/>
      <c r="C2" s="144"/>
      <c r="D2" s="144"/>
      <c r="E2" s="144"/>
      <c r="F2" s="144"/>
      <c r="G2" s="144"/>
      <c r="H2" s="144"/>
      <c r="I2" s="144"/>
    </row>
    <row r="3" ht="15.75">
      <c r="D3" s="7"/>
    </row>
    <row r="4" spans="2:9" ht="15">
      <c r="B4" s="148" t="str">
        <f>"1. This budget provides a guideline to determine the cost of production for a timothy hay enterprise for export based on "&amp;Input!E9&amp;" acres."</f>
        <v>1. This budget provides a guideline to determine the cost of production for a timothy hay enterprise for export based on 600 acres.</v>
      </c>
      <c r="C4" s="149"/>
      <c r="D4" s="149"/>
      <c r="E4" s="149"/>
      <c r="F4" s="149"/>
      <c r="G4" s="149"/>
      <c r="H4" s="149"/>
      <c r="I4" s="149"/>
    </row>
    <row r="5" spans="2:9" ht="15">
      <c r="B5" s="149"/>
      <c r="C5" s="149"/>
      <c r="D5" s="149"/>
      <c r="E5" s="149"/>
      <c r="F5" s="149"/>
      <c r="G5" s="149"/>
      <c r="H5" s="149"/>
      <c r="I5" s="149"/>
    </row>
    <row r="6" ht="15.75">
      <c r="D6" s="7"/>
    </row>
    <row r="7" spans="2:9" ht="15">
      <c r="B7" s="148" t="s">
        <v>210</v>
      </c>
      <c r="C7" s="149"/>
      <c r="D7" s="149"/>
      <c r="E7" s="149"/>
      <c r="F7" s="149"/>
      <c r="G7" s="149"/>
      <c r="H7" s="149"/>
      <c r="I7" s="149"/>
    </row>
    <row r="8" spans="2:9" ht="15">
      <c r="B8" s="149"/>
      <c r="C8" s="149"/>
      <c r="D8" s="149"/>
      <c r="E8" s="149"/>
      <c r="F8" s="149"/>
      <c r="G8" s="149"/>
      <c r="H8" s="149"/>
      <c r="I8" s="149"/>
    </row>
    <row r="9" ht="15.75">
      <c r="D9" s="7"/>
    </row>
    <row r="10" spans="2:9" ht="15">
      <c r="B10" s="150" t="str">
        <f>"3. The investment in machinery and equipment was assumed to be $"&amp;Input!E116&amp;" per acre. An additional $"&amp;Input!E117&amp;"/acre is included for storage."</f>
        <v>3. The investment in machinery and equipment was assumed to be $290 per acre. An additional $150/acre is included for storage.</v>
      </c>
      <c r="C10" s="149"/>
      <c r="D10" s="149"/>
      <c r="E10" s="149"/>
      <c r="F10" s="149"/>
      <c r="G10" s="149"/>
      <c r="H10" s="149"/>
      <c r="I10" s="149"/>
    </row>
    <row r="11" spans="2:9" ht="15">
      <c r="B11" s="149"/>
      <c r="C11" s="149"/>
      <c r="D11" s="149"/>
      <c r="E11" s="149"/>
      <c r="F11" s="149"/>
      <c r="G11" s="149"/>
      <c r="H11" s="149"/>
      <c r="I11" s="149"/>
    </row>
    <row r="12" ht="15.75">
      <c r="D12" s="7"/>
    </row>
    <row r="13" spans="2:4" ht="15.75">
      <c r="B13" s="94" t="str">
        <f>"4. An average yield of "&amp;Input!E23&amp;" tonnes per acre was assumed."</f>
        <v>4. An average yield of 2.26 tonnes per acre was assumed.</v>
      </c>
      <c r="D13" s="7"/>
    </row>
    <row r="14" ht="15.75">
      <c r="D14" s="7"/>
    </row>
    <row r="15" spans="2:4" ht="15.75">
      <c r="B15" s="18" t="str">
        <f>"5. Land was valued at $"&amp;Input!E115&amp;" per acre."</f>
        <v>5. Land was valued at $400 per acre.</v>
      </c>
      <c r="D15" s="7"/>
    </row>
    <row r="16" ht="15.75">
      <c r="D16" s="7"/>
    </row>
    <row r="18" ht="15.75">
      <c r="A18" s="7" t="s">
        <v>45</v>
      </c>
    </row>
    <row r="19" spans="2:9" ht="15.75">
      <c r="B19" s="7"/>
      <c r="I19" s="10" t="s">
        <v>89</v>
      </c>
    </row>
    <row r="20" ht="15.75">
      <c r="B20" s="95" t="s">
        <v>2</v>
      </c>
    </row>
    <row r="21" spans="2:9" ht="15.75">
      <c r="B21" s="18" t="s">
        <v>194</v>
      </c>
      <c r="C21" s="34"/>
      <c r="D21" s="96">
        <f>Input!E28</f>
        <v>2</v>
      </c>
      <c r="F21" s="18" t="s">
        <v>112</v>
      </c>
      <c r="I21" s="97"/>
    </row>
    <row r="22" spans="3:9" ht="15">
      <c r="C22" s="98" t="s">
        <v>46</v>
      </c>
      <c r="D22" s="99">
        <f>Input!E29</f>
        <v>4</v>
      </c>
      <c r="F22" s="18" t="s">
        <v>94</v>
      </c>
      <c r="I22" s="100"/>
    </row>
    <row r="23" spans="3:9" ht="15">
      <c r="C23" s="101" t="s">
        <v>50</v>
      </c>
      <c r="D23" s="26">
        <f>Input!E30</f>
        <v>3</v>
      </c>
      <c r="F23" s="42" t="s">
        <v>187</v>
      </c>
      <c r="I23" s="100"/>
    </row>
    <row r="24" spans="3:9" ht="15.75">
      <c r="C24" s="34" t="s">
        <v>47</v>
      </c>
      <c r="D24" s="27">
        <f>(D21*D22)+D23</f>
        <v>11</v>
      </c>
      <c r="E24" s="7"/>
      <c r="F24" s="18" t="s">
        <v>75</v>
      </c>
      <c r="I24" s="100"/>
    </row>
    <row r="25" spans="3:9" ht="15.75">
      <c r="C25" s="34"/>
      <c r="D25" s="61"/>
      <c r="E25" s="7"/>
      <c r="F25" s="7"/>
      <c r="I25" s="47"/>
    </row>
    <row r="26" ht="15.75">
      <c r="B26" s="7" t="s">
        <v>37</v>
      </c>
    </row>
    <row r="27" spans="2:9" ht="15.75">
      <c r="B27" s="7" t="s">
        <v>48</v>
      </c>
      <c r="D27" s="102">
        <f>Input!E36</f>
        <v>20</v>
      </c>
      <c r="F27" s="18" t="s">
        <v>113</v>
      </c>
      <c r="I27" s="97"/>
    </row>
    <row r="28" spans="2:9" ht="15">
      <c r="B28" s="18" t="s">
        <v>195</v>
      </c>
      <c r="C28" s="101" t="s">
        <v>46</v>
      </c>
      <c r="D28" s="103">
        <f>Input!D36</f>
        <v>0.33</v>
      </c>
      <c r="F28" s="42" t="s">
        <v>114</v>
      </c>
      <c r="I28" s="100"/>
    </row>
    <row r="29" spans="3:9" ht="15">
      <c r="C29" s="98" t="s">
        <v>47</v>
      </c>
      <c r="D29" s="99">
        <f>D27*D28</f>
        <v>6.6000000000000005</v>
      </c>
      <c r="F29" s="18" t="s">
        <v>75</v>
      </c>
      <c r="I29" s="100"/>
    </row>
    <row r="30" spans="3:9" ht="15">
      <c r="C30" s="98"/>
      <c r="D30" s="104"/>
      <c r="I30" s="47"/>
    </row>
    <row r="31" spans="2:9" ht="15">
      <c r="B31" s="18" t="s">
        <v>196</v>
      </c>
      <c r="C31" s="98"/>
      <c r="D31" s="104">
        <f>Input!E44</f>
        <v>60</v>
      </c>
      <c r="E31" s="42"/>
      <c r="F31" s="18" t="s">
        <v>115</v>
      </c>
      <c r="I31" s="97"/>
    </row>
    <row r="32" spans="3:9" ht="15">
      <c r="C32" s="101" t="s">
        <v>46</v>
      </c>
      <c r="D32" s="103">
        <f>Input!D44</f>
        <v>0.33</v>
      </c>
      <c r="E32" s="42"/>
      <c r="F32" s="42" t="s">
        <v>116</v>
      </c>
      <c r="I32" s="97"/>
    </row>
    <row r="33" spans="3:9" ht="15">
      <c r="C33" s="98" t="s">
        <v>47</v>
      </c>
      <c r="D33" s="25">
        <f>D31*D32</f>
        <v>19.8</v>
      </c>
      <c r="F33" s="18" t="s">
        <v>75</v>
      </c>
      <c r="I33" s="97"/>
    </row>
    <row r="34" ht="15">
      <c r="C34" s="98"/>
    </row>
    <row r="35" spans="2:9" ht="18.75">
      <c r="B35" s="7" t="s">
        <v>203</v>
      </c>
      <c r="C35" s="98"/>
      <c r="D35" s="102">
        <f>Input!E37</f>
        <v>20</v>
      </c>
      <c r="F35" s="18" t="s">
        <v>113</v>
      </c>
      <c r="I35" s="97"/>
    </row>
    <row r="36" spans="2:9" ht="15">
      <c r="B36" s="18" t="s">
        <v>194</v>
      </c>
      <c r="C36" s="101" t="s">
        <v>46</v>
      </c>
      <c r="D36" s="105">
        <f>Input!D37</f>
        <v>0.28</v>
      </c>
      <c r="F36" s="42" t="s">
        <v>114</v>
      </c>
      <c r="I36" s="100"/>
    </row>
    <row r="37" spans="3:9" ht="15">
      <c r="C37" s="98" t="s">
        <v>47</v>
      </c>
      <c r="D37" s="99">
        <f>D35*D36</f>
        <v>5.6000000000000005</v>
      </c>
      <c r="F37" s="18" t="s">
        <v>75</v>
      </c>
      <c r="I37" s="100"/>
    </row>
    <row r="38" spans="3:9" ht="15">
      <c r="C38" s="98"/>
      <c r="D38" s="104"/>
      <c r="I38" s="47"/>
    </row>
    <row r="39" spans="2:9" ht="15">
      <c r="B39" s="18" t="s">
        <v>196</v>
      </c>
      <c r="C39" s="98"/>
      <c r="D39" s="104">
        <f>Input!E45</f>
        <v>20</v>
      </c>
      <c r="F39" s="18" t="s">
        <v>115</v>
      </c>
      <c r="I39" s="97"/>
    </row>
    <row r="40" spans="3:9" ht="15">
      <c r="C40" s="101" t="s">
        <v>46</v>
      </c>
      <c r="D40" s="105">
        <f>Input!D45</f>
        <v>0.28</v>
      </c>
      <c r="F40" s="42" t="s">
        <v>116</v>
      </c>
      <c r="I40" s="97"/>
    </row>
    <row r="41" spans="3:9" ht="15">
      <c r="C41" s="98" t="s">
        <v>47</v>
      </c>
      <c r="D41" s="25">
        <f>D39*D40</f>
        <v>5.6000000000000005</v>
      </c>
      <c r="F41" s="18" t="s">
        <v>75</v>
      </c>
      <c r="I41" s="97"/>
    </row>
    <row r="43" spans="2:9" ht="18.75">
      <c r="B43" s="7" t="s">
        <v>204</v>
      </c>
      <c r="D43" s="102">
        <f>Input!E38</f>
        <v>0</v>
      </c>
      <c r="F43" s="18" t="s">
        <v>113</v>
      </c>
      <c r="I43" s="97"/>
    </row>
    <row r="44" spans="2:9" ht="15">
      <c r="B44" s="18" t="s">
        <v>195</v>
      </c>
      <c r="C44" s="101" t="s">
        <v>46</v>
      </c>
      <c r="D44" s="105">
        <f>Input!D38</f>
        <v>0.15</v>
      </c>
      <c r="F44" s="42" t="s">
        <v>114</v>
      </c>
      <c r="I44" s="100"/>
    </row>
    <row r="45" spans="3:9" ht="15">
      <c r="C45" s="98" t="s">
        <v>47</v>
      </c>
      <c r="D45" s="99">
        <f>D43*D44</f>
        <v>0</v>
      </c>
      <c r="F45" s="18" t="s">
        <v>75</v>
      </c>
      <c r="I45" s="100"/>
    </row>
    <row r="46" spans="3:9" ht="15">
      <c r="C46" s="98"/>
      <c r="D46" s="104"/>
      <c r="I46" s="47"/>
    </row>
    <row r="47" spans="2:9" ht="15">
      <c r="B47" s="18" t="s">
        <v>196</v>
      </c>
      <c r="C47" s="98" t="s">
        <v>50</v>
      </c>
      <c r="D47" s="104">
        <f>Input!E46</f>
        <v>0</v>
      </c>
      <c r="F47" s="18" t="s">
        <v>115</v>
      </c>
      <c r="I47" s="97"/>
    </row>
    <row r="48" spans="3:9" ht="15">
      <c r="C48" s="101" t="s">
        <v>46</v>
      </c>
      <c r="D48" s="105">
        <f>Input!D46</f>
        <v>0.15</v>
      </c>
      <c r="F48" s="42" t="s">
        <v>116</v>
      </c>
      <c r="I48" s="97"/>
    </row>
    <row r="49" spans="3:9" ht="15">
      <c r="C49" s="98" t="s">
        <v>47</v>
      </c>
      <c r="D49" s="25">
        <f>D47*D48</f>
        <v>0</v>
      </c>
      <c r="F49" s="18" t="s">
        <v>75</v>
      </c>
      <c r="I49" s="97"/>
    </row>
    <row r="50" ht="15">
      <c r="C50" s="98"/>
    </row>
    <row r="51" spans="2:9" ht="15.75">
      <c r="B51" s="7" t="s">
        <v>49</v>
      </c>
      <c r="C51" s="98"/>
      <c r="D51" s="102">
        <f>Input!E39</f>
        <v>0</v>
      </c>
      <c r="F51" s="18" t="s">
        <v>113</v>
      </c>
      <c r="I51" s="97"/>
    </row>
    <row r="52" spans="2:9" ht="15">
      <c r="B52" s="18" t="s">
        <v>195</v>
      </c>
      <c r="C52" s="101" t="s">
        <v>46</v>
      </c>
      <c r="D52" s="105">
        <f>Input!D39</f>
        <v>0.26</v>
      </c>
      <c r="F52" s="42" t="s">
        <v>114</v>
      </c>
      <c r="I52" s="100"/>
    </row>
    <row r="53" spans="3:9" ht="15">
      <c r="C53" s="98" t="s">
        <v>47</v>
      </c>
      <c r="D53" s="99">
        <f>D51*D52</f>
        <v>0</v>
      </c>
      <c r="F53" s="18" t="s">
        <v>75</v>
      </c>
      <c r="I53" s="100"/>
    </row>
    <row r="54" spans="3:9" ht="15">
      <c r="C54" s="98"/>
      <c r="D54" s="104"/>
      <c r="I54" s="47"/>
    </row>
    <row r="55" spans="2:9" ht="15">
      <c r="B55" s="18" t="s">
        <v>196</v>
      </c>
      <c r="C55" s="98"/>
      <c r="D55" s="104">
        <f>Input!E47</f>
        <v>0</v>
      </c>
      <c r="F55" s="18" t="s">
        <v>115</v>
      </c>
      <c r="I55" s="97"/>
    </row>
    <row r="56" spans="3:9" ht="15">
      <c r="C56" s="101" t="s">
        <v>46</v>
      </c>
      <c r="D56" s="105">
        <f>Input!D47</f>
        <v>0.26</v>
      </c>
      <c r="F56" s="42" t="s">
        <v>116</v>
      </c>
      <c r="I56" s="97"/>
    </row>
    <row r="57" spans="3:9" ht="15">
      <c r="C57" s="98" t="s">
        <v>47</v>
      </c>
      <c r="D57" s="25">
        <f>D55*D56</f>
        <v>0</v>
      </c>
      <c r="F57" s="18" t="s">
        <v>75</v>
      </c>
      <c r="I57" s="97"/>
    </row>
    <row r="58" spans="3:9" ht="15">
      <c r="C58" s="98"/>
      <c r="D58" s="25"/>
      <c r="I58" s="47"/>
    </row>
    <row r="59" spans="2:9" ht="15.75">
      <c r="B59" s="7" t="s">
        <v>202</v>
      </c>
      <c r="C59" s="98"/>
      <c r="D59" s="102">
        <f>Input!E40</f>
        <v>0</v>
      </c>
      <c r="F59" s="18" t="s">
        <v>113</v>
      </c>
      <c r="I59" s="97"/>
    </row>
    <row r="60" spans="2:9" ht="15">
      <c r="B60" s="18" t="s">
        <v>195</v>
      </c>
      <c r="C60" s="101" t="s">
        <v>46</v>
      </c>
      <c r="D60" s="105">
        <f>Input!D40</f>
        <v>1.5</v>
      </c>
      <c r="F60" s="42" t="s">
        <v>114</v>
      </c>
      <c r="I60" s="100"/>
    </row>
    <row r="61" spans="3:9" ht="15">
      <c r="C61" s="98" t="s">
        <v>47</v>
      </c>
      <c r="D61" s="99">
        <f>D59*D60</f>
        <v>0</v>
      </c>
      <c r="F61" s="18" t="s">
        <v>75</v>
      </c>
      <c r="I61" s="100"/>
    </row>
    <row r="62" spans="3:9" ht="15">
      <c r="C62" s="98"/>
      <c r="D62" s="104"/>
      <c r="I62" s="47"/>
    </row>
    <row r="63" spans="2:9" ht="15">
      <c r="B63" s="18" t="s">
        <v>196</v>
      </c>
      <c r="C63" s="98"/>
      <c r="D63" s="104">
        <f>Input!E48</f>
        <v>0</v>
      </c>
      <c r="F63" s="18" t="s">
        <v>115</v>
      </c>
      <c r="I63" s="97"/>
    </row>
    <row r="64" spans="3:9" ht="15">
      <c r="C64" s="101" t="s">
        <v>46</v>
      </c>
      <c r="D64" s="105">
        <f>Input!D48</f>
        <v>1.5</v>
      </c>
      <c r="F64" s="42" t="s">
        <v>116</v>
      </c>
      <c r="I64" s="97"/>
    </row>
    <row r="65" spans="3:9" ht="15">
      <c r="C65" s="98" t="s">
        <v>47</v>
      </c>
      <c r="D65" s="25">
        <f>D63*D64</f>
        <v>0</v>
      </c>
      <c r="F65" s="18" t="s">
        <v>75</v>
      </c>
      <c r="I65" s="97"/>
    </row>
    <row r="66" spans="3:9" ht="15">
      <c r="C66" s="98"/>
      <c r="D66" s="25"/>
      <c r="I66" s="47"/>
    </row>
    <row r="67" spans="2:6" ht="15">
      <c r="B67" s="106" t="s">
        <v>190</v>
      </c>
      <c r="C67" s="98" t="s">
        <v>47</v>
      </c>
      <c r="D67" s="25">
        <f>Input!E33</f>
        <v>1</v>
      </c>
      <c r="F67" s="18" t="s">
        <v>75</v>
      </c>
    </row>
    <row r="68" spans="2:9" ht="15.75">
      <c r="B68" s="12" t="s">
        <v>150</v>
      </c>
      <c r="C68" s="98" t="s">
        <v>47</v>
      </c>
      <c r="D68" s="61">
        <f>D29+D37+D45+D53+D61+D67</f>
        <v>13.200000000000001</v>
      </c>
      <c r="F68" s="7" t="s">
        <v>75</v>
      </c>
      <c r="I68" s="100"/>
    </row>
    <row r="69" spans="2:9" ht="15.75">
      <c r="B69" s="12" t="s">
        <v>169</v>
      </c>
      <c r="C69" s="34" t="s">
        <v>47</v>
      </c>
      <c r="D69" s="107">
        <f>D33+D41+D49+D57+D65+D67</f>
        <v>26.400000000000002</v>
      </c>
      <c r="E69" s="7"/>
      <c r="F69" s="7" t="s">
        <v>75</v>
      </c>
      <c r="I69" s="97"/>
    </row>
    <row r="71" ht="15.75">
      <c r="B71" s="7" t="s">
        <v>105</v>
      </c>
    </row>
    <row r="72" spans="2:9" ht="15">
      <c r="B72" s="18" t="s">
        <v>194</v>
      </c>
      <c r="D72" s="99">
        <f>Input!E53</f>
        <v>10</v>
      </c>
      <c r="F72" s="18" t="s">
        <v>152</v>
      </c>
      <c r="I72" s="97"/>
    </row>
    <row r="73" spans="3:9" ht="15">
      <c r="C73" s="101" t="s">
        <v>50</v>
      </c>
      <c r="D73" s="103">
        <f>Input!E54</f>
        <v>8</v>
      </c>
      <c r="F73" s="42" t="s">
        <v>151</v>
      </c>
      <c r="I73" s="100"/>
    </row>
    <row r="74" spans="3:9" ht="15.75">
      <c r="C74" s="34" t="s">
        <v>47</v>
      </c>
      <c r="D74" s="61">
        <f>D72+D73</f>
        <v>18</v>
      </c>
      <c r="F74" s="7" t="s">
        <v>75</v>
      </c>
      <c r="I74" s="100"/>
    </row>
    <row r="75" spans="3:9" ht="15">
      <c r="C75" s="98"/>
      <c r="D75" s="104"/>
      <c r="I75" s="47"/>
    </row>
    <row r="76" spans="2:9" ht="15.75">
      <c r="B76" s="18" t="s">
        <v>196</v>
      </c>
      <c r="C76" s="34" t="s">
        <v>47</v>
      </c>
      <c r="D76" s="61">
        <f>Input!E56</f>
        <v>12</v>
      </c>
      <c r="F76" s="18" t="s">
        <v>142</v>
      </c>
      <c r="I76" s="97"/>
    </row>
    <row r="77" spans="3:9" ht="15.75">
      <c r="C77" s="108"/>
      <c r="D77" s="27"/>
      <c r="F77" s="7"/>
      <c r="I77" s="47"/>
    </row>
    <row r="79" ht="15.75">
      <c r="B79" s="7" t="s">
        <v>118</v>
      </c>
    </row>
    <row r="80" spans="2:13" ht="15.75">
      <c r="B80" s="7" t="s">
        <v>170</v>
      </c>
      <c r="K80" s="102" t="s">
        <v>51</v>
      </c>
      <c r="L80" s="18" t="s">
        <v>52</v>
      </c>
      <c r="M80" s="18" t="s">
        <v>53</v>
      </c>
    </row>
    <row r="81" spans="4:13" ht="15.75">
      <c r="D81" s="34" t="s">
        <v>16</v>
      </c>
      <c r="F81" s="34" t="s">
        <v>17</v>
      </c>
      <c r="G81" s="34" t="s">
        <v>18</v>
      </c>
      <c r="H81" s="34" t="s">
        <v>63</v>
      </c>
      <c r="K81" s="102" t="s">
        <v>54</v>
      </c>
      <c r="L81" s="18" t="s">
        <v>55</v>
      </c>
      <c r="M81" s="18" t="s">
        <v>56</v>
      </c>
    </row>
    <row r="82" spans="2:8" ht="15.75">
      <c r="B82" s="109" t="s">
        <v>20</v>
      </c>
      <c r="D82" s="35" t="s">
        <v>21</v>
      </c>
      <c r="F82" s="35" t="s">
        <v>61</v>
      </c>
      <c r="G82" s="35" t="s">
        <v>62</v>
      </c>
      <c r="H82" s="35" t="s">
        <v>64</v>
      </c>
    </row>
    <row r="83" spans="2:13" ht="15">
      <c r="B83" s="29" t="str">
        <f>Input!B68</f>
        <v>Spray</v>
      </c>
      <c r="D83" s="110">
        <f>Input!C68</f>
        <v>1</v>
      </c>
      <c r="F83" s="98">
        <f>Input!D68</f>
        <v>90</v>
      </c>
      <c r="G83" s="98">
        <f>Input!E68</f>
        <v>10</v>
      </c>
      <c r="H83" s="111">
        <f>(0.315*(Input!F68*0.75))*L83*Input!$F$63</f>
        <v>0.189</v>
      </c>
      <c r="I83" s="97"/>
      <c r="K83" s="112">
        <f>(F83*G83)/10</f>
        <v>90</v>
      </c>
      <c r="L83" s="113">
        <f>IF(ISERR(1/K83),0,(1/K83)*D83)</f>
        <v>0.011111111111111112</v>
      </c>
      <c r="M83" s="112">
        <f aca="true" t="shared" si="0" ref="M83:M91">0.1*H83</f>
        <v>0.0189</v>
      </c>
    </row>
    <row r="84" spans="2:13" ht="15">
      <c r="B84" s="29" t="str">
        <f>Input!B69</f>
        <v>Seeding</v>
      </c>
      <c r="D84" s="110">
        <f>Input!C69</f>
        <v>1</v>
      </c>
      <c r="F84" s="98">
        <f>Input!D69</f>
        <v>40</v>
      </c>
      <c r="G84" s="98">
        <f>Input!E69</f>
        <v>7</v>
      </c>
      <c r="H84" s="111">
        <f>(0.315*(Input!F69*0.75))*L84*Input!$F$63</f>
        <v>0.36449999999999994</v>
      </c>
      <c r="I84" s="97"/>
      <c r="K84" s="112">
        <f>(F84*G84)/10</f>
        <v>28</v>
      </c>
      <c r="L84" s="113">
        <f>IF(ISERR(1/K84),0,(1/K84)*D84)</f>
        <v>0.03571428571428571</v>
      </c>
      <c r="M84" s="112">
        <f t="shared" si="0"/>
        <v>0.036449999999999996</v>
      </c>
    </row>
    <row r="85" spans="2:13" ht="15">
      <c r="B85" s="29" t="str">
        <f>Input!B70</f>
        <v>Cultivate</v>
      </c>
      <c r="D85" s="110">
        <f>Input!C70</f>
        <v>1</v>
      </c>
      <c r="F85" s="98">
        <f>Input!D70</f>
        <v>48</v>
      </c>
      <c r="G85" s="98">
        <f>Input!E70</f>
        <v>5</v>
      </c>
      <c r="H85" s="111">
        <f>(0.315*(Input!F70*0.75))*L85*Input!$F$63</f>
        <v>1.18125</v>
      </c>
      <c r="I85" s="100"/>
      <c r="K85" s="112">
        <f aca="true" t="shared" si="1" ref="K85:K91">(F85*G85)/10</f>
        <v>24</v>
      </c>
      <c r="L85" s="113">
        <f aca="true" t="shared" si="2" ref="L85:L91">IF(ISERR(1/K85),0,(1/K85)*D85)</f>
        <v>0.041666666666666664</v>
      </c>
      <c r="M85" s="112">
        <f t="shared" si="0"/>
        <v>0.118125</v>
      </c>
    </row>
    <row r="86" spans="2:13" ht="15">
      <c r="B86" s="29" t="str">
        <f>Input!B71</f>
        <v>Cultivate</v>
      </c>
      <c r="D86" s="110">
        <f>Input!C71</f>
        <v>1</v>
      </c>
      <c r="F86" s="98">
        <f>Input!D71</f>
        <v>48</v>
      </c>
      <c r="G86" s="98">
        <f>Input!E71</f>
        <v>5</v>
      </c>
      <c r="H86" s="111">
        <f>(0.315*(Input!F71*0.75))*L86*Input!$F$63</f>
        <v>1.18125</v>
      </c>
      <c r="I86" s="100"/>
      <c r="K86" s="112">
        <f t="shared" si="1"/>
        <v>24</v>
      </c>
      <c r="L86" s="113">
        <f t="shared" si="2"/>
        <v>0.041666666666666664</v>
      </c>
      <c r="M86" s="112">
        <f t="shared" si="0"/>
        <v>0.118125</v>
      </c>
    </row>
    <row r="87" spans="2:13" ht="15">
      <c r="B87" s="29" t="str">
        <f>Input!B72</f>
        <v>Fertilizer</v>
      </c>
      <c r="D87" s="110">
        <f>Input!C72</f>
        <v>1</v>
      </c>
      <c r="F87" s="98">
        <f>Input!D72</f>
        <v>40</v>
      </c>
      <c r="G87" s="98">
        <f>Input!E72</f>
        <v>8</v>
      </c>
      <c r="H87" s="111">
        <f>(0.315*(Input!F72*0.75))*L87*Input!$F$63</f>
        <v>0.5315624999999999</v>
      </c>
      <c r="I87" s="100"/>
      <c r="K87" s="112">
        <f t="shared" si="1"/>
        <v>32</v>
      </c>
      <c r="L87" s="113">
        <f t="shared" si="2"/>
        <v>0.03125</v>
      </c>
      <c r="M87" s="112">
        <f t="shared" si="0"/>
        <v>0.053156249999999995</v>
      </c>
    </row>
    <row r="88" spans="2:13" ht="15">
      <c r="B88" s="29" t="str">
        <f>Input!B73</f>
        <v>Harrow Packer</v>
      </c>
      <c r="D88" s="110">
        <f>Input!C73</f>
        <v>1</v>
      </c>
      <c r="F88" s="98">
        <f>Input!D73</f>
        <v>60</v>
      </c>
      <c r="G88" s="98">
        <f>Input!E73</f>
        <v>7</v>
      </c>
      <c r="H88" s="111">
        <f>(0.315*(Input!F73*0.75))*L88*Input!$F$63</f>
        <v>0.40499999999999997</v>
      </c>
      <c r="I88" s="100"/>
      <c r="K88" s="112">
        <f t="shared" si="1"/>
        <v>42</v>
      </c>
      <c r="L88" s="113">
        <f t="shared" si="2"/>
        <v>0.023809523809523808</v>
      </c>
      <c r="M88" s="112">
        <f t="shared" si="0"/>
        <v>0.0405</v>
      </c>
    </row>
    <row r="89" spans="2:13" ht="15">
      <c r="B89" s="29" t="str">
        <f>Input!B74</f>
        <v>Spray</v>
      </c>
      <c r="D89" s="110">
        <f>Input!C74</f>
        <v>1</v>
      </c>
      <c r="F89" s="98">
        <f>Input!D74</f>
        <v>90</v>
      </c>
      <c r="G89" s="98">
        <f>Input!E74</f>
        <v>10</v>
      </c>
      <c r="H89" s="111">
        <f>(0.315*(Input!F74*0.75))*L89*Input!$F$63</f>
        <v>0.189</v>
      </c>
      <c r="I89" s="100"/>
      <c r="K89" s="112">
        <f t="shared" si="1"/>
        <v>90</v>
      </c>
      <c r="L89" s="113">
        <f t="shared" si="2"/>
        <v>0.011111111111111112</v>
      </c>
      <c r="M89" s="112">
        <f t="shared" si="0"/>
        <v>0.0189</v>
      </c>
    </row>
    <row r="90" spans="2:13" ht="15">
      <c r="B90" s="29" t="str">
        <f>Input!B75</f>
        <v>Mower</v>
      </c>
      <c r="D90" s="110">
        <f>Input!C75</f>
        <v>1</v>
      </c>
      <c r="F90" s="98">
        <f>Input!D75</f>
        <v>12</v>
      </c>
      <c r="G90" s="98">
        <f>Input!E75</f>
        <v>5</v>
      </c>
      <c r="H90" s="111">
        <f>(0.315*(Input!F75*0.75))*L90*Input!$F$63</f>
        <v>2.835</v>
      </c>
      <c r="I90" s="100"/>
      <c r="K90" s="112">
        <f t="shared" si="1"/>
        <v>6</v>
      </c>
      <c r="L90" s="113">
        <f t="shared" si="2"/>
        <v>0.16666666666666666</v>
      </c>
      <c r="M90" s="112">
        <f t="shared" si="0"/>
        <v>0.28350000000000003</v>
      </c>
    </row>
    <row r="91" spans="2:13" ht="15">
      <c r="B91" s="29" t="str">
        <f>Input!B76</f>
        <v>Bale</v>
      </c>
      <c r="D91" s="110">
        <f>Input!C76</f>
        <v>1</v>
      </c>
      <c r="F91" s="98">
        <f>Input!D76</f>
        <v>12</v>
      </c>
      <c r="G91" s="98">
        <f>Input!E76</f>
        <v>7</v>
      </c>
      <c r="H91" s="114">
        <f>(0.315*(Input!F76*0.75))*L91*Input!$F$63</f>
        <v>2.025</v>
      </c>
      <c r="I91" s="100"/>
      <c r="K91" s="112">
        <f t="shared" si="1"/>
        <v>8.4</v>
      </c>
      <c r="L91" s="113">
        <f t="shared" si="2"/>
        <v>0.11904761904761904</v>
      </c>
      <c r="M91" s="115">
        <f t="shared" si="0"/>
        <v>0.2025</v>
      </c>
    </row>
    <row r="92" spans="2:13" ht="15.75">
      <c r="B92" s="24" t="s">
        <v>90</v>
      </c>
      <c r="H92" s="108">
        <f>ROUND(SUM(H83:H91),2)</f>
        <v>8.9</v>
      </c>
      <c r="I92" s="100"/>
      <c r="L92" s="113">
        <f>SUM(L83:L91)</f>
        <v>0.48204365079365075</v>
      </c>
      <c r="M92" s="61">
        <f>SUM(M83:M91)</f>
        <v>0.8901562500000001</v>
      </c>
    </row>
    <row r="94" ht="15.75">
      <c r="B94" s="7" t="s">
        <v>171</v>
      </c>
    </row>
    <row r="95" spans="4:8" ht="15.75">
      <c r="D95" s="34" t="s">
        <v>16</v>
      </c>
      <c r="F95" s="34" t="s">
        <v>17</v>
      </c>
      <c r="G95" s="34" t="s">
        <v>18</v>
      </c>
      <c r="H95" s="34" t="s">
        <v>63</v>
      </c>
    </row>
    <row r="96" spans="2:8" ht="15.75">
      <c r="B96" s="109" t="s">
        <v>20</v>
      </c>
      <c r="D96" s="35" t="s">
        <v>21</v>
      </c>
      <c r="F96" s="35" t="s">
        <v>61</v>
      </c>
      <c r="G96" s="35" t="s">
        <v>62</v>
      </c>
      <c r="H96" s="35" t="s">
        <v>64</v>
      </c>
    </row>
    <row r="97" spans="2:13" ht="15">
      <c r="B97" s="18" t="str">
        <f>Input!B79</f>
        <v>Fertilizer</v>
      </c>
      <c r="D97" s="110">
        <f>Input!C79</f>
        <v>1</v>
      </c>
      <c r="F97" s="98">
        <f>Input!D79</f>
        <v>40</v>
      </c>
      <c r="G97" s="98">
        <f>Input!E79</f>
        <v>8</v>
      </c>
      <c r="H97" s="116">
        <f>(0.315*(Input!F79*0.75))*L97*Input!$F$63</f>
        <v>0.5315624999999999</v>
      </c>
      <c r="I97" s="97"/>
      <c r="K97" s="112">
        <f>(F97*G97)/10</f>
        <v>32</v>
      </c>
      <c r="L97" s="113">
        <f>IF(ISERR(1/K97),0,(1/K97)*D97)</f>
        <v>0.03125</v>
      </c>
      <c r="M97" s="112">
        <f>0.1*H97</f>
        <v>0.053156249999999995</v>
      </c>
    </row>
    <row r="98" spans="2:13" ht="15">
      <c r="B98" s="18" t="str">
        <f>Input!B80</f>
        <v>Spray</v>
      </c>
      <c r="D98" s="110">
        <f>Input!C80</f>
        <v>1</v>
      </c>
      <c r="F98" s="98">
        <f>Input!D80</f>
        <v>90</v>
      </c>
      <c r="G98" s="98">
        <f>Input!E80</f>
        <v>10</v>
      </c>
      <c r="H98" s="116">
        <f>(0.315*(Input!F80*0.75))*L98*Input!$F$63</f>
        <v>0.189</v>
      </c>
      <c r="I98" s="97"/>
      <c r="K98" s="112">
        <f>(F98*G98)/10</f>
        <v>90</v>
      </c>
      <c r="L98" s="113">
        <f>IF(ISERR(1/K98),0,(1/K98)*D98)</f>
        <v>0.011111111111111112</v>
      </c>
      <c r="M98" s="112">
        <f>0.1*H98</f>
        <v>0.0189</v>
      </c>
    </row>
    <row r="99" spans="2:13" ht="15">
      <c r="B99" s="18" t="str">
        <f>Input!B81</f>
        <v>Cut</v>
      </c>
      <c r="D99" s="110">
        <f>Input!C81</f>
        <v>1</v>
      </c>
      <c r="F99" s="98">
        <f>Input!D81</f>
        <v>12</v>
      </c>
      <c r="G99" s="98">
        <f>Input!E81</f>
        <v>7</v>
      </c>
      <c r="H99" s="116">
        <f>(0.315*(Input!F81*0.75))*L99*Input!$F$63</f>
        <v>2.025</v>
      </c>
      <c r="I99" s="97"/>
      <c r="K99" s="112">
        <f>(F99*G99)/10</f>
        <v>8.4</v>
      </c>
      <c r="L99" s="113">
        <f>IF(ISERR(1/K99),0,(1/K99)*D99)</f>
        <v>0.11904761904761904</v>
      </c>
      <c r="M99" s="112">
        <f>0.1*H99</f>
        <v>0.2025</v>
      </c>
    </row>
    <row r="100" spans="2:13" ht="15">
      <c r="B100" s="18" t="str">
        <f>Input!B82</f>
        <v>Recondition</v>
      </c>
      <c r="D100" s="111">
        <f>Input!C82</f>
        <v>1.25</v>
      </c>
      <c r="F100" s="98">
        <f>Input!D82</f>
        <v>12</v>
      </c>
      <c r="G100" s="98">
        <f>Input!E82</f>
        <v>10</v>
      </c>
      <c r="H100" s="116">
        <f>(0.315*(Input!F82*0.75))*L100*Input!$F$63</f>
        <v>1.0631249999999997</v>
      </c>
      <c r="I100" s="97"/>
      <c r="K100" s="112">
        <f>(F100*G100)/10</f>
        <v>12</v>
      </c>
      <c r="L100" s="113">
        <f>IF(ISERR(1/K100),0,(1/K100)*D100)</f>
        <v>0.10416666666666666</v>
      </c>
      <c r="M100" s="112">
        <f>0.1*H100</f>
        <v>0.10631249999999998</v>
      </c>
    </row>
    <row r="101" spans="2:13" ht="15">
      <c r="B101" s="18" t="str">
        <f>Input!B83</f>
        <v>Bale</v>
      </c>
      <c r="D101" s="110">
        <f>Input!C83</f>
        <v>1</v>
      </c>
      <c r="F101" s="98">
        <f>Input!D83</f>
        <v>12</v>
      </c>
      <c r="G101" s="98">
        <f>Input!E83</f>
        <v>7</v>
      </c>
      <c r="H101" s="117">
        <f>(0.315*(Input!F83*0.75))*L101*Input!$F$63</f>
        <v>2.025</v>
      </c>
      <c r="I101" s="97"/>
      <c r="K101" s="112">
        <f>(F101*G101)/10</f>
        <v>8.4</v>
      </c>
      <c r="L101" s="113">
        <f>IF(ISERR(1/K101),0,(1/K101)*D101)</f>
        <v>0.11904761904761904</v>
      </c>
      <c r="M101" s="112">
        <f>0.1*H101</f>
        <v>0.2025</v>
      </c>
    </row>
    <row r="102" spans="2:12" ht="15.75">
      <c r="B102" s="7" t="s">
        <v>90</v>
      </c>
      <c r="H102" s="118">
        <f>ROUND(SUM(H95:H101),2)</f>
        <v>5.83</v>
      </c>
      <c r="I102" s="97"/>
      <c r="L102" s="113">
        <f>SUM(L97:L101)</f>
        <v>0.38462301587301584</v>
      </c>
    </row>
    <row r="103" ht="15">
      <c r="L103" s="113"/>
    </row>
    <row r="104" spans="2:7" ht="15">
      <c r="B104" s="18" t="s">
        <v>119</v>
      </c>
      <c r="D104" s="42" t="s">
        <v>166</v>
      </c>
      <c r="F104" s="145" t="s">
        <v>167</v>
      </c>
      <c r="G104" s="146"/>
    </row>
    <row r="105" spans="4:9" ht="15">
      <c r="D105" s="25">
        <f>Input!G60</f>
        <v>0</v>
      </c>
      <c r="F105" s="99">
        <f>IF(D105&gt;0,0,H92)</f>
        <v>8.9</v>
      </c>
      <c r="G105" s="18" t="s">
        <v>148</v>
      </c>
      <c r="I105" s="97"/>
    </row>
    <row r="106" spans="4:9" ht="15">
      <c r="D106" s="25">
        <f>Input!G61</f>
        <v>0</v>
      </c>
      <c r="E106" s="101"/>
      <c r="F106" s="25">
        <f>IF(D106&gt;0,0,H102)</f>
        <v>5.83</v>
      </c>
      <c r="G106" s="18" t="s">
        <v>165</v>
      </c>
      <c r="I106" s="100"/>
    </row>
    <row r="107" ht="15">
      <c r="E107" s="101"/>
    </row>
    <row r="109" ht="15.75">
      <c r="B109" s="7" t="s">
        <v>120</v>
      </c>
    </row>
    <row r="110" ht="15.75">
      <c r="B110" s="7" t="s">
        <v>183</v>
      </c>
    </row>
    <row r="111" spans="2:9" ht="15">
      <c r="B111" s="18" t="s">
        <v>194</v>
      </c>
      <c r="D111" s="25">
        <f>Input!F86</f>
        <v>0</v>
      </c>
      <c r="F111" s="18" t="s">
        <v>158</v>
      </c>
      <c r="I111" s="97"/>
    </row>
    <row r="112" spans="2:4" ht="15.75">
      <c r="B112" s="7"/>
      <c r="D112" s="25"/>
    </row>
    <row r="113" spans="2:9" ht="15">
      <c r="B113" s="18" t="s">
        <v>196</v>
      </c>
      <c r="D113" s="119">
        <f>Input!E23</f>
        <v>2.26</v>
      </c>
      <c r="F113" s="18" t="s">
        <v>159</v>
      </c>
      <c r="I113" s="97"/>
    </row>
    <row r="114" spans="2:9" ht="15.75">
      <c r="B114" s="7"/>
      <c r="C114" s="98" t="s">
        <v>46</v>
      </c>
      <c r="D114" s="120">
        <v>2204</v>
      </c>
      <c r="F114" s="18" t="s">
        <v>184</v>
      </c>
      <c r="I114" s="97"/>
    </row>
    <row r="115" spans="2:9" ht="15.75">
      <c r="B115" s="7"/>
      <c r="C115" s="98" t="s">
        <v>57</v>
      </c>
      <c r="D115" s="18">
        <f>Input!F88</f>
        <v>750</v>
      </c>
      <c r="F115" s="18" t="s">
        <v>157</v>
      </c>
      <c r="I115" s="97"/>
    </row>
    <row r="116" spans="2:9" ht="15.75">
      <c r="B116" s="7"/>
      <c r="C116" s="101" t="s">
        <v>46</v>
      </c>
      <c r="D116" s="103">
        <f>Input!F87</f>
        <v>3</v>
      </c>
      <c r="E116" s="42"/>
      <c r="F116" s="42" t="s">
        <v>156</v>
      </c>
      <c r="I116" s="97"/>
    </row>
    <row r="117" spans="2:9" ht="15.75">
      <c r="B117" s="7"/>
      <c r="C117" s="34" t="s">
        <v>47</v>
      </c>
      <c r="D117" s="61">
        <f>ROUND(((D113*D114)/D115)*D116,2)</f>
        <v>19.92</v>
      </c>
      <c r="E117" s="7"/>
      <c r="F117" s="7" t="s">
        <v>75</v>
      </c>
      <c r="I117" s="97"/>
    </row>
    <row r="119" ht="15.75">
      <c r="B119" s="7" t="s">
        <v>133</v>
      </c>
    </row>
    <row r="120" spans="2:9" ht="15.75">
      <c r="B120" s="18" t="s">
        <v>194</v>
      </c>
      <c r="D120" s="99">
        <f>Input!F92</f>
        <v>0</v>
      </c>
      <c r="F120" s="7" t="s">
        <v>75</v>
      </c>
      <c r="I120" s="97"/>
    </row>
    <row r="121" spans="4:9" ht="15">
      <c r="D121" s="104"/>
      <c r="I121" s="47"/>
    </row>
    <row r="122" spans="2:9" ht="15.75">
      <c r="B122" s="18" t="s">
        <v>196</v>
      </c>
      <c r="C122" s="42"/>
      <c r="D122" s="25">
        <f>Input!F93</f>
        <v>0</v>
      </c>
      <c r="F122" s="7" t="s">
        <v>75</v>
      </c>
      <c r="I122" s="97"/>
    </row>
    <row r="123" spans="4:9" ht="15.75">
      <c r="D123" s="99"/>
      <c r="F123" s="7"/>
      <c r="I123" s="47"/>
    </row>
    <row r="125" ht="15.75">
      <c r="B125" s="7" t="s">
        <v>140</v>
      </c>
    </row>
    <row r="126" spans="2:9" ht="15">
      <c r="B126" s="18" t="s">
        <v>205</v>
      </c>
      <c r="C126" s="99"/>
      <c r="D126" s="121">
        <f>Input!F96</f>
        <v>0.04</v>
      </c>
      <c r="F126" s="18" t="s">
        <v>70</v>
      </c>
      <c r="I126" s="97"/>
    </row>
    <row r="127" spans="3:9" ht="15">
      <c r="C127" s="101" t="s">
        <v>46</v>
      </c>
      <c r="D127" s="122">
        <f>(H176+H177+H178+H179+H180+H181)/Input!E9</f>
        <v>114.83333333333333</v>
      </c>
      <c r="E127" s="42"/>
      <c r="F127" s="42" t="s">
        <v>71</v>
      </c>
      <c r="G127" s="42"/>
      <c r="H127" s="42"/>
      <c r="I127" s="100"/>
    </row>
    <row r="128" spans="3:9" ht="15.75">
      <c r="C128" s="108" t="s">
        <v>47</v>
      </c>
      <c r="D128" s="27">
        <f>$D$126*$D$127</f>
        <v>4.593333333333333</v>
      </c>
      <c r="F128" s="7" t="s">
        <v>75</v>
      </c>
      <c r="I128" s="100"/>
    </row>
    <row r="129" spans="2:9" ht="15.75">
      <c r="B129" s="123" t="s">
        <v>207</v>
      </c>
      <c r="C129" s="108"/>
      <c r="D129" s="27"/>
      <c r="F129" s="7"/>
      <c r="I129" s="47"/>
    </row>
    <row r="130" spans="3:9" ht="15.75">
      <c r="C130" s="108"/>
      <c r="D130" s="102"/>
      <c r="I130" s="47"/>
    </row>
    <row r="131" spans="2:9" ht="15.75">
      <c r="B131" s="18" t="s">
        <v>206</v>
      </c>
      <c r="C131" s="108"/>
      <c r="D131" s="68">
        <f>Input!F96</f>
        <v>0.04</v>
      </c>
      <c r="F131" s="18" t="s">
        <v>70</v>
      </c>
      <c r="I131" s="97"/>
    </row>
    <row r="132" spans="3:9" ht="15">
      <c r="C132" s="124" t="s">
        <v>46</v>
      </c>
      <c r="D132" s="125">
        <f>(H176+H177+H178+H182+H183+H184+H185+H189)/Input!E9</f>
        <v>438.3333333333333</v>
      </c>
      <c r="F132" s="42" t="s">
        <v>71</v>
      </c>
      <c r="I132" s="97"/>
    </row>
    <row r="133" spans="3:9" ht="15.75">
      <c r="C133" s="108" t="s">
        <v>47</v>
      </c>
      <c r="D133" s="27">
        <f>D131*D132</f>
        <v>17.53333333333333</v>
      </c>
      <c r="F133" s="7" t="s">
        <v>75</v>
      </c>
      <c r="I133" s="97"/>
    </row>
    <row r="134" spans="2:9" ht="15.75">
      <c r="B134" s="123" t="s">
        <v>208</v>
      </c>
      <c r="D134" s="27"/>
      <c r="I134" s="47"/>
    </row>
    <row r="135" spans="3:9" ht="15.75">
      <c r="C135" s="108"/>
      <c r="D135" s="27"/>
      <c r="F135" s="7"/>
      <c r="I135" s="47"/>
    </row>
    <row r="136" spans="2:3" ht="15.75">
      <c r="B136" s="7" t="s">
        <v>135</v>
      </c>
      <c r="C136" s="98"/>
    </row>
    <row r="137" spans="2:9" ht="15">
      <c r="B137" s="18" t="s">
        <v>194</v>
      </c>
      <c r="D137" s="26">
        <f>Input!E99</f>
        <v>40</v>
      </c>
      <c r="E137" s="42"/>
      <c r="F137" s="42" t="s">
        <v>193</v>
      </c>
      <c r="I137" s="97"/>
    </row>
    <row r="138" spans="3:9" ht="15.75">
      <c r="C138" s="98" t="s">
        <v>47</v>
      </c>
      <c r="D138" s="61">
        <f>Input!F99</f>
        <v>1.36</v>
      </c>
      <c r="F138" s="7" t="s">
        <v>75</v>
      </c>
      <c r="I138" s="97"/>
    </row>
    <row r="139" spans="3:9" ht="15">
      <c r="C139" s="98"/>
      <c r="D139" s="104"/>
      <c r="I139" s="47"/>
    </row>
    <row r="140" spans="2:9" ht="15">
      <c r="B140" s="47" t="s">
        <v>197</v>
      </c>
      <c r="D140" s="18">
        <f>Input!F101</f>
        <v>1.201</v>
      </c>
      <c r="F140" s="18" t="str">
        <f>Input!G101</f>
        <v>tonnes/acre</v>
      </c>
      <c r="I140" s="97"/>
    </row>
    <row r="141" spans="2:9" ht="15">
      <c r="B141" s="47"/>
      <c r="C141" s="98" t="s">
        <v>46</v>
      </c>
      <c r="D141" s="68">
        <f>Input!F100</f>
        <v>0.5</v>
      </c>
      <c r="F141" s="18" t="s">
        <v>192</v>
      </c>
      <c r="I141" s="97"/>
    </row>
    <row r="142" spans="2:9" ht="15">
      <c r="B142" s="47"/>
      <c r="C142" s="98" t="s">
        <v>47</v>
      </c>
      <c r="D142" s="126">
        <f>D140*D141</f>
        <v>0.6005</v>
      </c>
      <c r="F142" s="18" t="s">
        <v>214</v>
      </c>
      <c r="I142" s="97"/>
    </row>
    <row r="143" spans="2:9" ht="15">
      <c r="B143" s="47"/>
      <c r="C143" s="98" t="s">
        <v>46</v>
      </c>
      <c r="D143" s="25">
        <f>Input!F102</f>
        <v>61</v>
      </c>
      <c r="F143" s="18" t="str">
        <f>Input!G102</f>
        <v>$/acre coverage</v>
      </c>
      <c r="I143" s="97"/>
    </row>
    <row r="144" spans="2:9" ht="15">
      <c r="B144" s="47"/>
      <c r="C144" s="101" t="s">
        <v>47</v>
      </c>
      <c r="D144" s="26">
        <f>D142*D143</f>
        <v>36.630500000000005</v>
      </c>
      <c r="E144" s="42"/>
      <c r="F144" s="42" t="s">
        <v>193</v>
      </c>
      <c r="I144" s="97"/>
    </row>
    <row r="145" spans="2:9" ht="15.75">
      <c r="B145" s="47"/>
      <c r="C145" s="127" t="s">
        <v>47</v>
      </c>
      <c r="D145" s="53">
        <f>Input!F103</f>
        <v>0.25</v>
      </c>
      <c r="E145" s="47"/>
      <c r="F145" s="7" t="s">
        <v>215</v>
      </c>
      <c r="I145" s="100"/>
    </row>
    <row r="146" spans="2:9" ht="15">
      <c r="B146" s="47"/>
      <c r="I146" s="47"/>
    </row>
    <row r="147" spans="2:9" ht="15.75">
      <c r="B147" s="47"/>
      <c r="C147" s="127"/>
      <c r="D147" s="53"/>
      <c r="E147" s="47"/>
      <c r="F147" s="7"/>
      <c r="I147" s="47"/>
    </row>
    <row r="148" spans="2:3" ht="15.75">
      <c r="B148" s="7" t="s">
        <v>136</v>
      </c>
      <c r="C148" s="98"/>
    </row>
    <row r="149" spans="2:9" ht="15.75">
      <c r="B149" s="18" t="s">
        <v>195</v>
      </c>
      <c r="C149" s="108" t="s">
        <v>47</v>
      </c>
      <c r="D149" s="27">
        <f>Input!F105</f>
        <v>2</v>
      </c>
      <c r="F149" s="7" t="s">
        <v>75</v>
      </c>
      <c r="I149" s="97"/>
    </row>
    <row r="150" spans="3:4" ht="15">
      <c r="C150" s="98"/>
      <c r="D150" s="104"/>
    </row>
    <row r="151" spans="2:9" ht="15.75">
      <c r="B151" s="18" t="s">
        <v>196</v>
      </c>
      <c r="C151" s="34" t="s">
        <v>47</v>
      </c>
      <c r="D151" s="61">
        <f>Input!F105</f>
        <v>2</v>
      </c>
      <c r="F151" s="7" t="s">
        <v>75</v>
      </c>
      <c r="I151" s="97"/>
    </row>
    <row r="152" spans="3:4" ht="15">
      <c r="C152" s="98"/>
      <c r="D152" s="99"/>
    </row>
    <row r="153" ht="15">
      <c r="C153" s="98"/>
    </row>
    <row r="154" spans="2:3" ht="15.75">
      <c r="B154" s="7" t="s">
        <v>137</v>
      </c>
      <c r="C154" s="98"/>
    </row>
    <row r="155" spans="2:9" ht="15.75">
      <c r="B155" s="18" t="s">
        <v>194</v>
      </c>
      <c r="C155" s="128" t="s">
        <v>47</v>
      </c>
      <c r="D155" s="27">
        <f>Input!F107</f>
        <v>6.5</v>
      </c>
      <c r="F155" s="7" t="s">
        <v>75</v>
      </c>
      <c r="I155" s="97"/>
    </row>
    <row r="156" spans="3:4" ht="15">
      <c r="C156" s="98"/>
      <c r="D156" s="104"/>
    </row>
    <row r="157" spans="2:9" ht="15.75">
      <c r="B157" s="18" t="s">
        <v>196</v>
      </c>
      <c r="C157" s="98" t="s">
        <v>47</v>
      </c>
      <c r="D157" s="61">
        <f>Input!F107</f>
        <v>6.5</v>
      </c>
      <c r="F157" s="7" t="s">
        <v>75</v>
      </c>
      <c r="I157" s="97"/>
    </row>
    <row r="158" ht="15">
      <c r="D158" s="99"/>
    </row>
    <row r="160" ht="15.75">
      <c r="B160" s="7" t="s">
        <v>141</v>
      </c>
    </row>
    <row r="161" spans="2:9" ht="15">
      <c r="B161" s="18" t="s">
        <v>194</v>
      </c>
      <c r="D161" s="25">
        <f>'Export Summary'!F18</f>
        <v>65.55</v>
      </c>
      <c r="F161" s="18" t="s">
        <v>38</v>
      </c>
      <c r="I161" s="97"/>
    </row>
    <row r="162" spans="2:9" ht="15.75">
      <c r="B162" s="7"/>
      <c r="C162" s="98" t="s">
        <v>57</v>
      </c>
      <c r="D162" s="18">
        <v>2</v>
      </c>
      <c r="F162" s="18" t="s">
        <v>76</v>
      </c>
      <c r="I162" s="97"/>
    </row>
    <row r="163" spans="2:9" ht="15.75">
      <c r="B163" s="7"/>
      <c r="C163" s="101" t="s">
        <v>46</v>
      </c>
      <c r="D163" s="129">
        <f>Input!F109</f>
        <v>0.055</v>
      </c>
      <c r="F163" s="42" t="s">
        <v>77</v>
      </c>
      <c r="I163" s="97"/>
    </row>
    <row r="164" spans="2:9" ht="15.75">
      <c r="B164" s="7"/>
      <c r="C164" s="108" t="s">
        <v>47</v>
      </c>
      <c r="D164" s="27">
        <f>(D161/D162)*D163</f>
        <v>1.802625</v>
      </c>
      <c r="F164" s="7" t="s">
        <v>75</v>
      </c>
      <c r="I164" s="97"/>
    </row>
    <row r="165" spans="2:6" ht="15.75">
      <c r="B165" s="7"/>
      <c r="F165" s="7"/>
    </row>
    <row r="166" spans="2:9" ht="15">
      <c r="B166" s="18" t="s">
        <v>196</v>
      </c>
      <c r="C166" s="98"/>
      <c r="D166" s="99">
        <f>'Export Summary'!G18</f>
        <v>110.56</v>
      </c>
      <c r="F166" s="18" t="s">
        <v>38</v>
      </c>
      <c r="I166" s="97"/>
    </row>
    <row r="167" spans="3:9" ht="15">
      <c r="C167" s="98" t="s">
        <v>57</v>
      </c>
      <c r="D167" s="102">
        <v>2</v>
      </c>
      <c r="F167" s="18" t="s">
        <v>76</v>
      </c>
      <c r="I167" s="100"/>
    </row>
    <row r="168" spans="3:9" ht="15">
      <c r="C168" s="101" t="s">
        <v>46</v>
      </c>
      <c r="D168" s="129">
        <f>Input!F109</f>
        <v>0.055</v>
      </c>
      <c r="E168" s="42"/>
      <c r="F168" s="42" t="s">
        <v>77</v>
      </c>
      <c r="G168" s="42"/>
      <c r="I168" s="100"/>
    </row>
    <row r="169" spans="3:9" ht="15.75">
      <c r="C169" s="108" t="s">
        <v>47</v>
      </c>
      <c r="D169" s="27">
        <f>(+D166/D167)*D168</f>
        <v>3.0404</v>
      </c>
      <c r="F169" s="7" t="s">
        <v>75</v>
      </c>
      <c r="I169" s="100"/>
    </row>
    <row r="171" ht="15.75">
      <c r="A171" s="7" t="s">
        <v>58</v>
      </c>
    </row>
    <row r="172" spans="1:9" ht="18">
      <c r="A172" s="7"/>
      <c r="B172" s="147" t="s">
        <v>29</v>
      </c>
      <c r="C172" s="147"/>
      <c r="D172" s="147"/>
      <c r="E172" s="147"/>
      <c r="F172" s="147"/>
      <c r="G172" s="147"/>
      <c r="H172" s="147"/>
      <c r="I172" s="147"/>
    </row>
    <row r="173" ht="15.75">
      <c r="A173" s="7"/>
    </row>
    <row r="174" spans="1:8" ht="15.75">
      <c r="A174" s="7"/>
      <c r="B174" s="10"/>
      <c r="F174" s="34" t="s">
        <v>177</v>
      </c>
      <c r="G174" s="34" t="s">
        <v>200</v>
      </c>
      <c r="H174" s="34" t="s">
        <v>201</v>
      </c>
    </row>
    <row r="175" spans="1:8" ht="15.75">
      <c r="A175" s="7"/>
      <c r="B175" s="10" t="s">
        <v>181</v>
      </c>
      <c r="F175" s="35" t="s">
        <v>178</v>
      </c>
      <c r="G175" s="10" t="s">
        <v>199</v>
      </c>
      <c r="H175" s="35" t="s">
        <v>131</v>
      </c>
    </row>
    <row r="176" spans="1:9" ht="15.75">
      <c r="A176" s="7"/>
      <c r="B176" s="18" t="str">
        <f>Input!B121</f>
        <v>Tractor</v>
      </c>
      <c r="D176" s="18" t="str">
        <f>Input!C121</f>
        <v>250 hp</v>
      </c>
      <c r="F176" s="58">
        <f>Input!D121</f>
        <v>180000</v>
      </c>
      <c r="G176" s="68">
        <f>Input!E121</f>
        <v>0.1</v>
      </c>
      <c r="H176" s="130">
        <f>F176*G176</f>
        <v>18000</v>
      </c>
      <c r="I176" s="97"/>
    </row>
    <row r="177" spans="1:9" ht="15.75">
      <c r="A177" s="7"/>
      <c r="B177" s="18" t="str">
        <f>Input!B122</f>
        <v>Tractor</v>
      </c>
      <c r="D177" s="18" t="str">
        <f>Input!C122</f>
        <v>150 hp</v>
      </c>
      <c r="F177" s="58">
        <f>Input!D122</f>
        <v>130000</v>
      </c>
      <c r="G177" s="68">
        <f>Input!E122</f>
        <v>0.25</v>
      </c>
      <c r="H177" s="130">
        <f aca="true" t="shared" si="3" ref="H177:H185">F177*G177</f>
        <v>32500</v>
      </c>
      <c r="I177" s="97"/>
    </row>
    <row r="178" spans="1:9" ht="15.75">
      <c r="A178" s="7"/>
      <c r="B178" s="18" t="str">
        <f>Input!B123</f>
        <v>Tractor</v>
      </c>
      <c r="D178" s="18" t="str">
        <f>Input!C123</f>
        <v>90 hp</v>
      </c>
      <c r="F178" s="58">
        <f>Input!D123</f>
        <v>70000</v>
      </c>
      <c r="G178" s="68">
        <f>Input!E123</f>
        <v>0.25</v>
      </c>
      <c r="H178" s="130">
        <f t="shared" si="3"/>
        <v>17500</v>
      </c>
      <c r="I178" s="97"/>
    </row>
    <row r="179" spans="1:9" ht="15.75">
      <c r="A179" s="7"/>
      <c r="B179" s="18" t="str">
        <f>Input!B124</f>
        <v>Sprayer</v>
      </c>
      <c r="F179" s="58">
        <f>Input!D124</f>
        <v>5000</v>
      </c>
      <c r="G179" s="68">
        <f>Input!E124</f>
        <v>0.1</v>
      </c>
      <c r="H179" s="130">
        <f t="shared" si="3"/>
        <v>500</v>
      </c>
      <c r="I179" s="97"/>
    </row>
    <row r="180" spans="1:9" ht="15.75">
      <c r="A180" s="7"/>
      <c r="B180" s="18" t="str">
        <f>Input!B125</f>
        <v>Cultivator</v>
      </c>
      <c r="F180" s="58">
        <f>Input!D125</f>
        <v>3000</v>
      </c>
      <c r="G180" s="68">
        <f>Input!E125</f>
        <v>0.05</v>
      </c>
      <c r="H180" s="130">
        <f t="shared" si="3"/>
        <v>150</v>
      </c>
      <c r="I180" s="97"/>
    </row>
    <row r="181" spans="1:9" ht="15.75">
      <c r="A181" s="7"/>
      <c r="B181" s="18" t="str">
        <f>Input!B126</f>
        <v>Harrow packer</v>
      </c>
      <c r="F181" s="58">
        <f>Input!D126</f>
        <v>5000</v>
      </c>
      <c r="G181" s="68">
        <f>Input!E126</f>
        <v>0.05</v>
      </c>
      <c r="H181" s="130">
        <f t="shared" si="3"/>
        <v>250</v>
      </c>
      <c r="I181" s="97"/>
    </row>
    <row r="182" spans="1:9" ht="15.75">
      <c r="A182" s="7"/>
      <c r="B182" s="18" t="str">
        <f>Input!B127</f>
        <v>Baler</v>
      </c>
      <c r="F182" s="58">
        <f>Input!D127</f>
        <v>75000</v>
      </c>
      <c r="G182" s="68">
        <f>Input!E127</f>
        <v>0.9</v>
      </c>
      <c r="H182" s="130">
        <f t="shared" si="3"/>
        <v>67500</v>
      </c>
      <c r="I182" s="97"/>
    </row>
    <row r="183" spans="1:9" ht="15.75">
      <c r="A183" s="7"/>
      <c r="B183" s="18" t="str">
        <f>Input!B128</f>
        <v>Truck &amp; Trailer</v>
      </c>
      <c r="F183" s="58">
        <f>Input!D128</f>
        <v>25000</v>
      </c>
      <c r="G183" s="68">
        <f>Input!E128</f>
        <v>0.4</v>
      </c>
      <c r="H183" s="130">
        <f t="shared" si="3"/>
        <v>10000</v>
      </c>
      <c r="I183" s="97"/>
    </row>
    <row r="184" spans="1:9" ht="15.75">
      <c r="A184" s="7"/>
      <c r="B184" s="18" t="str">
        <f>Input!B129</f>
        <v>Mower conditioner</v>
      </c>
      <c r="F184" s="58">
        <f>Input!D129</f>
        <v>25000</v>
      </c>
      <c r="G184" s="68">
        <f>Input!E129</f>
        <v>0.7</v>
      </c>
      <c r="H184" s="130">
        <f t="shared" si="3"/>
        <v>17500</v>
      </c>
      <c r="I184" s="97"/>
    </row>
    <row r="185" spans="1:9" ht="15.75">
      <c r="A185" s="7"/>
      <c r="B185" s="18" t="str">
        <f>Input!B130</f>
        <v>Reconditioner</v>
      </c>
      <c r="F185" s="58">
        <f>Input!D130</f>
        <v>10000</v>
      </c>
      <c r="G185" s="68">
        <f>Input!E130</f>
        <v>1</v>
      </c>
      <c r="H185" s="122">
        <f t="shared" si="3"/>
        <v>10000</v>
      </c>
      <c r="I185" s="97"/>
    </row>
    <row r="186" spans="1:9" ht="15.75">
      <c r="A186" s="7"/>
      <c r="B186" s="7" t="s">
        <v>90</v>
      </c>
      <c r="H186" s="64">
        <f>SUM(H176:H185)</f>
        <v>173900</v>
      </c>
      <c r="I186" s="97"/>
    </row>
    <row r="187" spans="1:9" ht="15.75">
      <c r="A187" s="7"/>
      <c r="D187" s="18" t="s">
        <v>180</v>
      </c>
      <c r="F187" s="102">
        <f>Input!E9</f>
        <v>600</v>
      </c>
      <c r="G187" s="18" t="s">
        <v>186</v>
      </c>
      <c r="H187" s="99">
        <f>H186/Input!E9</f>
        <v>289.8333333333333</v>
      </c>
      <c r="I187" s="97"/>
    </row>
    <row r="188" spans="1:8" ht="15.75">
      <c r="A188" s="7"/>
      <c r="H188" s="99"/>
    </row>
    <row r="189" spans="1:9" ht="15.75">
      <c r="A189" s="7"/>
      <c r="B189" s="7" t="str">
        <f>Input!B133</f>
        <v>Storage Shed</v>
      </c>
      <c r="F189" s="58">
        <f>Input!D133</f>
        <v>90000</v>
      </c>
      <c r="G189" s="68">
        <f>Input!E133</f>
        <v>1</v>
      </c>
      <c r="H189" s="64">
        <f>F189*G189</f>
        <v>90000</v>
      </c>
      <c r="I189" s="97"/>
    </row>
    <row r="190" spans="4:9" ht="15">
      <c r="D190" s="18" t="s">
        <v>180</v>
      </c>
      <c r="F190" s="102">
        <f>Input!E9</f>
        <v>600</v>
      </c>
      <c r="G190" s="18" t="s">
        <v>186</v>
      </c>
      <c r="H190" s="99">
        <f>H189/Input!E9</f>
        <v>150</v>
      </c>
      <c r="I190" s="97"/>
    </row>
    <row r="191" ht="15">
      <c r="H191" s="99"/>
    </row>
    <row r="192" spans="2:9" ht="15.75">
      <c r="B192" s="7" t="s">
        <v>179</v>
      </c>
      <c r="H192" s="64">
        <f>H186+H189</f>
        <v>263900</v>
      </c>
      <c r="I192" s="97"/>
    </row>
    <row r="194" spans="2:9" ht="15.75">
      <c r="B194" s="7" t="s">
        <v>74</v>
      </c>
      <c r="D194" s="131" t="s">
        <v>91</v>
      </c>
      <c r="E194" s="88"/>
      <c r="F194" s="88"/>
      <c r="G194" s="132"/>
      <c r="H194" s="132"/>
      <c r="I194" s="132"/>
    </row>
    <row r="195" spans="4:8" ht="15.75">
      <c r="D195" s="34" t="s">
        <v>185</v>
      </c>
      <c r="E195" s="98"/>
      <c r="F195" s="98"/>
      <c r="G195" s="132"/>
      <c r="H195" s="7"/>
    </row>
    <row r="196" spans="4:6" ht="15.75">
      <c r="D196" s="34"/>
      <c r="E196" s="98"/>
      <c r="F196" s="98"/>
    </row>
    <row r="197" ht="15.75">
      <c r="B197" s="7" t="s">
        <v>40</v>
      </c>
    </row>
    <row r="198" spans="4:9" ht="15">
      <c r="D198" s="99">
        <f>Input!$F$131/Input!$E$9</f>
        <v>289.8333333333333</v>
      </c>
      <c r="F198" s="18" t="s">
        <v>78</v>
      </c>
      <c r="I198" s="97"/>
    </row>
    <row r="199" spans="3:9" ht="15">
      <c r="C199" s="98" t="s">
        <v>59</v>
      </c>
      <c r="D199" s="99">
        <f>(Input!F131*Input!G116)/Input!E9</f>
        <v>28.983333333333334</v>
      </c>
      <c r="F199" s="18" t="s">
        <v>79</v>
      </c>
      <c r="G199" s="42"/>
      <c r="I199" s="100"/>
    </row>
    <row r="200" spans="3:9" ht="15">
      <c r="C200" s="101" t="s">
        <v>57</v>
      </c>
      <c r="D200" s="133">
        <f>Input!F116</f>
        <v>10</v>
      </c>
      <c r="E200" s="42"/>
      <c r="F200" s="42" t="s">
        <v>80</v>
      </c>
      <c r="I200" s="100"/>
    </row>
    <row r="201" spans="3:9" ht="15.75">
      <c r="C201" s="108" t="s">
        <v>47</v>
      </c>
      <c r="D201" s="27">
        <f>ROUND((D198-D199)/D200,2)</f>
        <v>26.09</v>
      </c>
      <c r="F201" s="7" t="s">
        <v>75</v>
      </c>
      <c r="I201" s="100"/>
    </row>
    <row r="203" spans="2:9" ht="15.75">
      <c r="B203" s="7" t="s">
        <v>41</v>
      </c>
      <c r="I203" s="47"/>
    </row>
    <row r="204" spans="3:9" ht="15">
      <c r="C204" s="98"/>
      <c r="D204" s="99">
        <f>Input!$F$133/Input!$E$9</f>
        <v>150</v>
      </c>
      <c r="F204" s="18" t="s">
        <v>78</v>
      </c>
      <c r="I204" s="97"/>
    </row>
    <row r="205" spans="3:9" ht="15">
      <c r="C205" s="98" t="s">
        <v>59</v>
      </c>
      <c r="D205" s="99">
        <f>(Input!F133*Input!G117)/Input!E9</f>
        <v>15</v>
      </c>
      <c r="F205" s="18" t="s">
        <v>79</v>
      </c>
      <c r="I205" s="100"/>
    </row>
    <row r="206" spans="3:9" ht="15">
      <c r="C206" s="101" t="s">
        <v>57</v>
      </c>
      <c r="D206" s="133">
        <f>Input!F117</f>
        <v>20</v>
      </c>
      <c r="F206" s="42" t="s">
        <v>80</v>
      </c>
      <c r="I206" s="100"/>
    </row>
    <row r="207" spans="3:9" ht="15.75">
      <c r="C207" s="108" t="s">
        <v>47</v>
      </c>
      <c r="D207" s="27">
        <f>(+D204-D205)/D206</f>
        <v>6.75</v>
      </c>
      <c r="F207" s="7" t="s">
        <v>75</v>
      </c>
      <c r="I207" s="100"/>
    </row>
    <row r="208" ht="15">
      <c r="C208" s="98"/>
    </row>
    <row r="209" ht="15">
      <c r="C209" s="98"/>
    </row>
    <row r="210" spans="2:9" ht="15.75">
      <c r="B210" s="7" t="s">
        <v>73</v>
      </c>
      <c r="C210" s="98"/>
      <c r="D210" s="131" t="s">
        <v>182</v>
      </c>
      <c r="E210" s="132"/>
      <c r="F210" s="132"/>
      <c r="I210" s="47"/>
    </row>
    <row r="211" spans="3:9" ht="15.75">
      <c r="C211" s="98"/>
      <c r="E211" s="34">
        <v>2</v>
      </c>
      <c r="F211" s="132"/>
      <c r="I211" s="47"/>
    </row>
    <row r="212" spans="3:9" ht="15">
      <c r="C212" s="98"/>
      <c r="I212" s="47"/>
    </row>
    <row r="213" spans="2:9" ht="15.75">
      <c r="B213" s="7" t="s">
        <v>42</v>
      </c>
      <c r="C213" s="98"/>
      <c r="I213" s="47"/>
    </row>
    <row r="214" spans="3:9" ht="15">
      <c r="C214" s="98"/>
      <c r="D214" s="99">
        <f>Input!E115</f>
        <v>400</v>
      </c>
      <c r="F214" s="18" t="s">
        <v>78</v>
      </c>
      <c r="I214" s="97"/>
    </row>
    <row r="215" spans="3:9" ht="15">
      <c r="C215" s="101" t="s">
        <v>46</v>
      </c>
      <c r="D215" s="129">
        <f>Input!F111</f>
        <v>0.04</v>
      </c>
      <c r="E215" s="42"/>
      <c r="F215" s="42" t="s">
        <v>81</v>
      </c>
      <c r="I215" s="97"/>
    </row>
    <row r="216" spans="3:9" ht="15.75">
      <c r="C216" s="128" t="s">
        <v>47</v>
      </c>
      <c r="D216" s="27">
        <f>(+D214*D215)</f>
        <v>16</v>
      </c>
      <c r="F216" s="7" t="s">
        <v>75</v>
      </c>
      <c r="I216" s="97"/>
    </row>
    <row r="217" ht="15">
      <c r="I217" s="47"/>
    </row>
    <row r="218" spans="2:9" ht="15.75">
      <c r="B218" s="7" t="s">
        <v>43</v>
      </c>
      <c r="I218" s="47"/>
    </row>
    <row r="219" spans="4:9" ht="15">
      <c r="D219" s="99">
        <f>Input!$F$131/Input!$E$9</f>
        <v>289.8333333333333</v>
      </c>
      <c r="F219" s="18" t="s">
        <v>78</v>
      </c>
      <c r="I219" s="97"/>
    </row>
    <row r="220" spans="3:9" ht="15">
      <c r="C220" s="98" t="s">
        <v>50</v>
      </c>
      <c r="D220" s="99">
        <f>(Input!F131*Input!G116)/Input!E9</f>
        <v>28.983333333333334</v>
      </c>
      <c r="F220" s="18" t="s">
        <v>79</v>
      </c>
      <c r="I220" s="97"/>
    </row>
    <row r="221" spans="3:9" ht="15">
      <c r="C221" s="98" t="s">
        <v>57</v>
      </c>
      <c r="D221" s="102">
        <v>2</v>
      </c>
      <c r="F221" s="18" t="s">
        <v>76</v>
      </c>
      <c r="I221" s="97"/>
    </row>
    <row r="222" spans="3:9" ht="15">
      <c r="C222" s="101" t="s">
        <v>46</v>
      </c>
      <c r="D222" s="129">
        <f>Input!F111</f>
        <v>0.04</v>
      </c>
      <c r="E222" s="42"/>
      <c r="F222" s="42" t="s">
        <v>81</v>
      </c>
      <c r="I222" s="97"/>
    </row>
    <row r="223" spans="3:9" ht="15.75">
      <c r="C223" s="108" t="s">
        <v>47</v>
      </c>
      <c r="D223" s="27">
        <f>ROUND(((+D219+D220)/D221)*D222,2)</f>
        <v>6.38</v>
      </c>
      <c r="F223" s="7" t="s">
        <v>75</v>
      </c>
      <c r="G223" s="47"/>
      <c r="H223" s="47"/>
      <c r="I223" s="97"/>
    </row>
    <row r="224" ht="15">
      <c r="C224" s="98"/>
    </row>
    <row r="225" spans="2:3" ht="15.75">
      <c r="B225" s="7" t="s">
        <v>60</v>
      </c>
      <c r="C225" s="98"/>
    </row>
    <row r="226" spans="3:9" ht="15">
      <c r="C226" s="98"/>
      <c r="D226" s="99">
        <f>Input!$F$133/Input!$E$9</f>
        <v>150</v>
      </c>
      <c r="F226" s="18" t="s">
        <v>78</v>
      </c>
      <c r="I226" s="97"/>
    </row>
    <row r="227" spans="3:9" ht="15">
      <c r="C227" s="98" t="s">
        <v>50</v>
      </c>
      <c r="D227" s="99">
        <f>(Input!F133*Input!G117)/Input!E9</f>
        <v>15</v>
      </c>
      <c r="F227" s="18" t="s">
        <v>79</v>
      </c>
      <c r="I227" s="97"/>
    </row>
    <row r="228" spans="3:9" ht="15">
      <c r="C228" s="98" t="s">
        <v>57</v>
      </c>
      <c r="D228" s="102">
        <v>2</v>
      </c>
      <c r="F228" s="18" t="s">
        <v>76</v>
      </c>
      <c r="I228" s="97"/>
    </row>
    <row r="229" spans="3:9" ht="15">
      <c r="C229" s="101" t="s">
        <v>46</v>
      </c>
      <c r="D229" s="129">
        <f>Input!F111</f>
        <v>0.04</v>
      </c>
      <c r="E229" s="42"/>
      <c r="F229" s="42" t="s">
        <v>81</v>
      </c>
      <c r="I229" s="97"/>
    </row>
    <row r="230" spans="3:9" ht="15.75">
      <c r="C230" s="108" t="s">
        <v>47</v>
      </c>
      <c r="D230" s="27">
        <f>((+D226+D227)/D228)*D229</f>
        <v>3.3000000000000003</v>
      </c>
      <c r="F230" s="7" t="s">
        <v>75</v>
      </c>
      <c r="I230" s="97"/>
    </row>
    <row r="232" ht="15.75">
      <c r="B232" s="7" t="s">
        <v>82</v>
      </c>
    </row>
    <row r="233" spans="2:9" ht="15">
      <c r="B233" s="18" t="s">
        <v>218</v>
      </c>
      <c r="D233" s="99">
        <f>Input!E138</f>
        <v>10</v>
      </c>
      <c r="F233" s="18" t="s">
        <v>72</v>
      </c>
      <c r="I233" s="97"/>
    </row>
    <row r="234" spans="3:9" ht="15">
      <c r="C234" s="101" t="s">
        <v>46</v>
      </c>
      <c r="D234" s="42">
        <f>Input!E139</f>
        <v>1.5</v>
      </c>
      <c r="E234" s="42"/>
      <c r="F234" s="42" t="s">
        <v>67</v>
      </c>
      <c r="I234" s="97"/>
    </row>
    <row r="235" spans="3:9" ht="15.75">
      <c r="C235" s="108" t="s">
        <v>47</v>
      </c>
      <c r="D235" s="27">
        <f>D233*D234</f>
        <v>15</v>
      </c>
      <c r="F235" s="7" t="s">
        <v>75</v>
      </c>
      <c r="I235" s="97"/>
    </row>
    <row r="237" spans="2:6" ht="15">
      <c r="B237" s="18" t="s">
        <v>162</v>
      </c>
      <c r="D237" s="99">
        <f>Input!E141</f>
        <v>10</v>
      </c>
      <c r="F237" s="18" t="s">
        <v>72</v>
      </c>
    </row>
    <row r="238" spans="4:6" ht="15">
      <c r="D238" s="18">
        <f>Input!E142</f>
        <v>1.2</v>
      </c>
      <c r="F238" s="42" t="s">
        <v>67</v>
      </c>
    </row>
    <row r="239" spans="4:6" ht="15.75">
      <c r="D239" s="27">
        <f>D237*D238</f>
        <v>12</v>
      </c>
      <c r="F239" s="7" t="s">
        <v>75</v>
      </c>
    </row>
    <row r="241" ht="15">
      <c r="B241" s="18" t="s">
        <v>172</v>
      </c>
    </row>
    <row r="242" spans="3:6" ht="15">
      <c r="C242" s="47"/>
      <c r="D242" s="47"/>
      <c r="E242" s="47"/>
      <c r="F242" s="47"/>
    </row>
    <row r="243" ht="15">
      <c r="B243" s="47" t="s">
        <v>68</v>
      </c>
    </row>
    <row r="244" spans="2:6" ht="15">
      <c r="B244" s="18" t="s">
        <v>174</v>
      </c>
      <c r="F244" s="18" t="s">
        <v>173</v>
      </c>
    </row>
    <row r="245" spans="2:6" ht="15">
      <c r="B245" s="18" t="s">
        <v>69</v>
      </c>
      <c r="F245" s="18" t="s">
        <v>69</v>
      </c>
    </row>
    <row r="247" ht="15">
      <c r="B247" s="18" t="s">
        <v>175</v>
      </c>
    </row>
    <row r="248" ht="15">
      <c r="B248" s="18" t="s">
        <v>176</v>
      </c>
    </row>
  </sheetData>
  <sheetProtection password="C7C6" sheet="1" objects="1" scenarios="1"/>
  <mergeCells count="6">
    <mergeCell ref="A2:I2"/>
    <mergeCell ref="F104:G104"/>
    <mergeCell ref="B172:I172"/>
    <mergeCell ref="B4:I5"/>
    <mergeCell ref="B7:I8"/>
    <mergeCell ref="B10:I11"/>
  </mergeCells>
  <printOptions/>
  <pageMargins left="0.7480314960629921" right="0.7480314960629921" top="0.984251968503937" bottom="0.984251968503937" header="0.5118110236220472" footer="0.5118110236220472"/>
  <pageSetup firstPageNumber="3" useFirstPageNumber="1" horizontalDpi="300" verticalDpi="300" orientation="portrait" scale="93" r:id="rId1"/>
  <headerFooter alignWithMargins="0">
    <oddHeader>&amp;LGuidelines: Export Timothy Hay Costs&amp;R&amp;P</oddHeader>
    <oddFooter>&amp;RManitoba Agriculture, Food and Rural Initiatives
&amp;"Arial,Italic"Farm Management</oddFooter>
  </headerFooter>
  <rowBreaks count="6" manualBreakCount="6">
    <brk id="41" max="8" man="1"/>
    <brk id="78" max="8" man="1"/>
    <brk id="118" max="8" man="1"/>
    <brk id="159" max="8" man="1"/>
    <brk id="169" max="8" man="1"/>
    <brk id="207"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Peter Blawat, P.Ag.</Manager>
  <Company>Manitoba Agriculture, Food and Rural Initiatives (MAFRI)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Export Timothy 2004.xls</dc:title>
  <dc:subject>COP Forages</dc:subject>
  <dc:creator>MAFRI Staff</dc:creator>
  <cp:keywords>Forage, Cost of Production, COP, Economics</cp:keywords>
  <dc:description>Manitoba Agriculture, Food &amp; Rural Initiatives
Farm Management Section
903-401 York Ave.
Winnipeg, MB  R3C 0P8</dc:description>
  <cp:lastModifiedBy>JGessner</cp:lastModifiedBy>
  <cp:lastPrinted>2004-04-01T15:17:42Z</cp:lastPrinted>
  <dcterms:created xsi:type="dcterms:W3CDTF">1998-12-01T15:32:09Z</dcterms:created>
  <dcterms:modified xsi:type="dcterms:W3CDTF">2008-07-11T13:19:53Z</dcterms:modified>
  <cp:category>COP Forages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632554624</vt:i4>
  </property>
  <property fmtid="{D5CDD505-2E9C-101B-9397-08002B2CF9AE}" pid="3" name="_EmailSubject">
    <vt:lpwstr>COP Export Timothy 2004.xls</vt:lpwstr>
  </property>
  <property fmtid="{D5CDD505-2E9C-101B-9397-08002B2CF9AE}" pid="4" name="_AuthorEmail">
    <vt:lpwstr>SGessner@gov.mb.ca</vt:lpwstr>
  </property>
  <property fmtid="{D5CDD505-2E9C-101B-9397-08002B2CF9AE}" pid="5" name="_AuthorEmailDisplayName">
    <vt:lpwstr>Gessner, Shauna (MAFRI)</vt:lpwstr>
  </property>
  <property fmtid="{D5CDD505-2E9C-101B-9397-08002B2CF9AE}" pid="6" name="_PreviousAdHocReviewCycleID">
    <vt:i4>774345946</vt:i4>
  </property>
  <property fmtid="{D5CDD505-2E9C-101B-9397-08002B2CF9AE}" pid="7" name="_ReviewingToolsShownOnce">
    <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ContentTypeId">
    <vt:lpwstr>0x010100ACAADE3355E29C4E95B09CD45679A285</vt:lpwstr>
  </property>
  <property fmtid="{D5CDD505-2E9C-101B-9397-08002B2CF9AE}" pid="14" name="_SourceUrl">
    <vt:lpwstr/>
  </property>
  <property fmtid="{D5CDD505-2E9C-101B-9397-08002B2CF9AE}" pid="15" name="_SharedFileIndex">
    <vt:lpwstr/>
  </property>
</Properties>
</file>