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970" windowHeight="4575" activeTab="0"/>
  </bookViews>
  <sheets>
    <sheet name="Introduction" sheetId="1" r:id="rId1"/>
    <sheet name="Input" sheetId="2" r:id="rId2"/>
    <sheet name="Summary" sheetId="3" r:id="rId3"/>
    <sheet name="Details" sheetId="4" r:id="rId4"/>
  </sheets>
  <definedNames>
    <definedName name="\C">$B$357:$B$357</definedName>
    <definedName name="\D">$B$343:$B$343</definedName>
    <definedName name="\H">$B$337:$B$337</definedName>
    <definedName name="\I">$B$339:$B$339</definedName>
    <definedName name="\K">$B$347:$B$347</definedName>
    <definedName name="\N">$B$359:$B$359</definedName>
    <definedName name="\P">$B$306:$B$306</definedName>
    <definedName name="\S">$B$341:$B$341</definedName>
    <definedName name="\W">$B$349:$B$349</definedName>
    <definedName name="\X">$B$362:$B$362</definedName>
    <definedName name="ALL">$B$316:$B$316</definedName>
    <definedName name="_xlnm.Print_Area" localSheetId="0">'Introduction'!$A$1:$H$38</definedName>
    <definedName name="_xlnm.Print_Area" localSheetId="2">'Summary'!$A$1:$K$44</definedName>
    <definedName name="_xlnm.Print_Titles" localSheetId="3">'Details'!$18:$18</definedName>
  </definedNames>
  <calcPr fullCalcOnLoad="1"/>
</workbook>
</file>

<file path=xl/sharedStrings.xml><?xml version="1.0" encoding="utf-8"?>
<sst xmlns="http://schemas.openxmlformats.org/spreadsheetml/2006/main" count="602" uniqueCount="263">
  <si>
    <t xml:space="preserve"> </t>
  </si>
  <si>
    <t/>
  </si>
  <si>
    <t xml:space="preserve">  Number of Cows</t>
  </si>
  <si>
    <t>A.  OPERATING COSTS</t>
  </si>
  <si>
    <t>$/COW</t>
  </si>
  <si>
    <t>$ TOTAL</t>
  </si>
  <si>
    <t xml:space="preserve">  Number of Bulls</t>
  </si>
  <si>
    <t>1.  Feed Costs:</t>
  </si>
  <si>
    <t xml:space="preserve">    1.01   Hay</t>
  </si>
  <si>
    <t xml:space="preserve">  Elk Cow market price</t>
  </si>
  <si>
    <t xml:space="preserve">    1.02   Grain</t>
  </si>
  <si>
    <t xml:space="preserve">  Herd Bull market price</t>
  </si>
  <si>
    <t xml:space="preserve">    1.03   Supplement </t>
  </si>
  <si>
    <t xml:space="preserve">  Calf Crop (%)</t>
  </si>
  <si>
    <t xml:space="preserve">    Total Feed Cost</t>
  </si>
  <si>
    <t xml:space="preserve">  Average Calf Weight (lbs)</t>
  </si>
  <si>
    <t>2.  Other Operating Costs:</t>
  </si>
  <si>
    <t xml:space="preserve">   1.01  Hay Costs</t>
  </si>
  <si>
    <t xml:space="preserve">  Replacement Rate (%)</t>
  </si>
  <si>
    <t xml:space="preserve">    2.02   Fuel, Mtce. &amp; Repairs</t>
  </si>
  <si>
    <t>Cows</t>
  </si>
  <si>
    <t>kg hay/day</t>
  </si>
  <si>
    <t xml:space="preserve">    2.03   Utilities</t>
  </si>
  <si>
    <t>x</t>
  </si>
  <si>
    <t>days/year</t>
  </si>
  <si>
    <t xml:space="preserve">    2.04   Death Loss</t>
  </si>
  <si>
    <t>kg/tonne</t>
  </si>
  <si>
    <t xml:space="preserve">    2.05   Insurance</t>
  </si>
  <si>
    <t>/tonne</t>
  </si>
  <si>
    <t xml:space="preserve">    2.06   Herd Replacement</t>
  </si>
  <si>
    <t>=</t>
  </si>
  <si>
    <t xml:space="preserve">    2.07   Land Taxes</t>
  </si>
  <si>
    <t xml:space="preserve">    2.08   Miscellaneous</t>
  </si>
  <si>
    <t>Bulls</t>
  </si>
  <si>
    <t xml:space="preserve">    Subtotal Operating Costs</t>
  </si>
  <si>
    <t xml:space="preserve">    2.09   Operating Interest</t>
  </si>
  <si>
    <t>TOTAL OPERATING COSTS</t>
  </si>
  <si>
    <t>B.  FIXED COSTS</t>
  </si>
  <si>
    <t>------ kilograms per day ------</t>
  </si>
  <si>
    <t>3.  Depreciation</t>
  </si>
  <si>
    <t xml:space="preserve">    3.01   Buildings</t>
  </si>
  <si>
    <t xml:space="preserve">   Hay</t>
  </si>
  <si>
    <t xml:space="preserve">    3.02   Machinery &amp; Equipment</t>
  </si>
  <si>
    <t xml:space="preserve">   Oats</t>
  </si>
  <si>
    <t xml:space="preserve">    3.03   Fence</t>
  </si>
  <si>
    <t xml:space="preserve">   Supplement</t>
  </si>
  <si>
    <t>4.  Investment</t>
  </si>
  <si>
    <t xml:space="preserve">    4.01   Buildings</t>
  </si>
  <si>
    <t xml:space="preserve">   1.02  Grain Costs</t>
  </si>
  <si>
    <t xml:space="preserve">   Days on feed</t>
  </si>
  <si>
    <t xml:space="preserve">    4.02   Machinery &amp; Equipment</t>
  </si>
  <si>
    <t>kg oats/day</t>
  </si>
  <si>
    <t>Hay &amp; grain</t>
  </si>
  <si>
    <t xml:space="preserve">    4.03   Livestock</t>
  </si>
  <si>
    <t>Supplement</t>
  </si>
  <si>
    <t xml:space="preserve">    4.04   Pasture Land &amp; Fencing</t>
  </si>
  <si>
    <t>TOTAL FIXED COSTS</t>
  </si>
  <si>
    <t xml:space="preserve">   Feed Prices</t>
  </si>
  <si>
    <t>Hay ($/tonne)</t>
  </si>
  <si>
    <t>C.  LABOUR COSTS</t>
  </si>
  <si>
    <t>Oats ($/tonne)</t>
  </si>
  <si>
    <t>Supplement ($/tonne)</t>
  </si>
  <si>
    <t>TOTAL COST OF PRODUCTION</t>
  </si>
  <si>
    <t>Parasite control</t>
  </si>
  <si>
    <t>Vitamins</t>
  </si>
  <si>
    <t>Blackleg</t>
  </si>
  <si>
    <t xml:space="preserve">   1.03  Supplement Costs</t>
  </si>
  <si>
    <t>kg supplement/day</t>
  </si>
  <si>
    <t>DNA &amp; Blood Testing</t>
  </si>
  <si>
    <t>DNA profile</t>
  </si>
  <si>
    <t>Blood</t>
  </si>
  <si>
    <t>Vet fees</t>
  </si>
  <si>
    <t>Semen test</t>
  </si>
  <si>
    <t xml:space="preserve">   2.01  Veterinary Medicine &amp; Supplies</t>
  </si>
  <si>
    <t>Land Taxes</t>
  </si>
  <si>
    <t>Cost per acre</t>
  </si>
  <si>
    <t>+</t>
  </si>
  <si>
    <t>Calves</t>
  </si>
  <si>
    <t xml:space="preserve">  Utilities</t>
  </si>
  <si>
    <t xml:space="preserve">  Manure Removal:</t>
  </si>
  <si>
    <t xml:space="preserve">  Operating Interest:</t>
  </si>
  <si>
    <t xml:space="preserve">     Bank Rate on Deposits  (%)</t>
  </si>
  <si>
    <t xml:space="preserve">   2.02  Fuel, Oil, Repairs &amp; Maintenance</t>
  </si>
  <si>
    <t xml:space="preserve">     Bank Rate on Borrowing   (%)</t>
  </si>
  <si>
    <t xml:space="preserve">  Insurance:</t>
  </si>
  <si>
    <t xml:space="preserve">    Cost per $100 Capital Invested in</t>
  </si>
  <si>
    <t xml:space="preserve">       a). Livestock</t>
  </si>
  <si>
    <t xml:space="preserve">       b). Building &amp; Equipment</t>
  </si>
  <si>
    <t xml:space="preserve">   Add'l Coverage for liability ($/year)</t>
  </si>
  <si>
    <t xml:space="preserve">     Total yearly expense</t>
  </si>
  <si>
    <t>Velveting</t>
  </si>
  <si>
    <t>License</t>
  </si>
  <si>
    <t xml:space="preserve">  2.03  Utilities</t>
  </si>
  <si>
    <t xml:space="preserve">  Replacement Cost/Heifer</t>
  </si>
  <si>
    <t xml:space="preserve">  Average Market Value/Cow</t>
  </si>
  <si>
    <t xml:space="preserve">  Price Received/Cull Cow</t>
  </si>
  <si>
    <t xml:space="preserve">  Replacement Cost/Herd Bull</t>
  </si>
  <si>
    <t xml:space="preserve">   2.04  Death Loss</t>
  </si>
  <si>
    <t>/cow investment</t>
  </si>
  <si>
    <t xml:space="preserve">  Bull Replacement Rate</t>
  </si>
  <si>
    <t xml:space="preserve">   2.05  Insurance</t>
  </si>
  <si>
    <t xml:space="preserve">     (%)</t>
  </si>
  <si>
    <t xml:space="preserve">  Buildings &amp; Improvements</t>
  </si>
  <si>
    <t xml:space="preserve">        Handling Facilities</t>
  </si>
  <si>
    <t xml:space="preserve">        Waterers (2 @ $ 1000)</t>
  </si>
  <si>
    <t xml:space="preserve">        Round Bale Feeders</t>
  </si>
  <si>
    <t xml:space="preserve">        Well &amp; Pressure System</t>
  </si>
  <si>
    <t xml:space="preserve">        Hydro (1 pole @ $400)</t>
  </si>
  <si>
    <t xml:space="preserve">  Machinery</t>
  </si>
  <si>
    <t xml:space="preserve">        Tractor &amp; Loader</t>
  </si>
  <si>
    <t xml:space="preserve">        Miscellaneous Machinery</t>
  </si>
  <si>
    <t xml:space="preserve">  Land</t>
  </si>
  <si>
    <t xml:space="preserve">  2.06   Herd Replacement</t>
  </si>
  <si>
    <t xml:space="preserve">  Livestock</t>
  </si>
  <si>
    <t>/replacement heifer</t>
  </si>
  <si>
    <t>-</t>
  </si>
  <si>
    <t>/cull cow</t>
  </si>
  <si>
    <t>% replacement rate</t>
  </si>
  <si>
    <t>Total Capital Investment</t>
  </si>
  <si>
    <t>/replacement bull</t>
  </si>
  <si>
    <t>/cull bull</t>
  </si>
  <si>
    <t>Annual Hours per Cow</t>
  </si>
  <si>
    <t>Hourly Labour Rate</t>
  </si>
  <si>
    <t xml:space="preserve">   2.07  Land Taxes</t>
  </si>
  <si>
    <t xml:space="preserve">   2.08  Miscellaneous</t>
  </si>
  <si>
    <t xml:space="preserve">   2.09  Operating Interest</t>
  </si>
  <si>
    <t>% operating interest rate</t>
  </si>
  <si>
    <t>3.  Depreciation:</t>
  </si>
  <si>
    <t xml:space="preserve">   3.01  Buildings &amp; Improvements</t>
  </si>
  <si>
    <t>years useful life</t>
  </si>
  <si>
    <t xml:space="preserve">   3.02  Machinery &amp; Equipment</t>
  </si>
  <si>
    <t xml:space="preserve">   3.03  Fence</t>
  </si>
  <si>
    <t>4.  Investment:</t>
  </si>
  <si>
    <t xml:space="preserve">   4.01  Buildings &amp; Improvements</t>
  </si>
  <si>
    <t xml:space="preserve">   4.02  Machinery &amp; Equipment</t>
  </si>
  <si>
    <t>average</t>
  </si>
  <si>
    <t xml:space="preserve">   4.03  Livestock</t>
  </si>
  <si>
    <t>/cow</t>
  </si>
  <si>
    <t>/bull</t>
  </si>
  <si>
    <t xml:space="preserve">   4.04  Pasture Land &amp; Fencing</t>
  </si>
  <si>
    <t>Guidelines for Estimating</t>
  </si>
  <si>
    <t>Elk Cow Calf Costs</t>
  </si>
  <si>
    <t>÷</t>
  </si>
  <si>
    <t xml:space="preserve">Total </t>
  </si>
  <si>
    <t xml:space="preserve">Calf </t>
  </si>
  <si>
    <t xml:space="preserve">Bull </t>
  </si>
  <si>
    <t>Total</t>
  </si>
  <si>
    <t>cows</t>
  </si>
  <si>
    <t>Your Cost</t>
  </si>
  <si>
    <t>Assumptions</t>
  </si>
  <si>
    <t>2. All feed is valued at fair market value.</t>
  </si>
  <si>
    <t>3. Handling facilities include chutes and squeeze specifically designed for elk.</t>
  </si>
  <si>
    <t>5. Insurance rates used were for accidental insurance only; not full mortality.</t>
  </si>
  <si>
    <t>Capital Investment</t>
  </si>
  <si>
    <t>Original Value - Salvage Value</t>
  </si>
  <si>
    <t>Useful Life</t>
  </si>
  <si>
    <r>
      <t>Original Value + Salvage Value</t>
    </r>
    <r>
      <rPr>
        <b/>
        <i/>
        <sz val="12"/>
        <rFont val="Arial"/>
        <family val="2"/>
      </rPr>
      <t xml:space="preserve">   x Investment Rate</t>
    </r>
  </si>
  <si>
    <t>For more information contact your local Manitoba Agriculture and Food office.</t>
  </si>
  <si>
    <t>Prepared by:</t>
  </si>
  <si>
    <t>Peter Blawat  P.Ag.</t>
  </si>
  <si>
    <t>Farm Management Specialist</t>
  </si>
  <si>
    <t>Bill Steeds P.Ag.</t>
  </si>
  <si>
    <t>Manager Livestock Section</t>
  </si>
  <si>
    <t>original value</t>
  </si>
  <si>
    <t>salvage value</t>
  </si>
  <si>
    <t>net cost</t>
  </si>
  <si>
    <t>annual hours per cow</t>
  </si>
  <si>
    <t>hourly labour rate</t>
  </si>
  <si>
    <t xml:space="preserve">  Number of calves born</t>
  </si>
  <si>
    <t xml:space="preserve">  Bull calves</t>
  </si>
  <si>
    <t xml:space="preserve">  Heifer calves</t>
  </si>
  <si>
    <t>parasite control</t>
  </si>
  <si>
    <t>blackleg control</t>
  </si>
  <si>
    <t>% calf crop</t>
  </si>
  <si>
    <t>vet fees</t>
  </si>
  <si>
    <t>total cost/calf</t>
  </si>
  <si>
    <t>calves/year</t>
  </si>
  <si>
    <t>annual fuel cost</t>
  </si>
  <si>
    <t>oil, repairs &amp; maintenance</t>
  </si>
  <si>
    <t>total cost</t>
  </si>
  <si>
    <t>annual repair &amp; mtc.</t>
  </si>
  <si>
    <t>annual utilities costs</t>
  </si>
  <si>
    <t>(%) mortality rate</t>
  </si>
  <si>
    <t>bldg. &amp; equip. investment</t>
  </si>
  <si>
    <t>cost/$100 capital</t>
  </si>
  <si>
    <t>herd investment</t>
  </si>
  <si>
    <t>add'l coverage for liability</t>
  </si>
  <si>
    <t>land taxes</t>
  </si>
  <si>
    <t>license fee</t>
  </si>
  <si>
    <t>subtotal operating costs</t>
  </si>
  <si>
    <t>Feed Requirements and Costs</t>
  </si>
  <si>
    <t>Vet, Medicine and Supplies</t>
  </si>
  <si>
    <t>FUEL, OIL, REPAIRS &amp; MAINTENANCE</t>
  </si>
  <si>
    <t xml:space="preserve">HERD REPLACEMENT  </t>
  </si>
  <si>
    <t>CAPITAL COSTS</t>
  </si>
  <si>
    <t>LABOUR COSTS</t>
  </si>
  <si>
    <t xml:space="preserve">blood test </t>
  </si>
  <si>
    <t xml:space="preserve">       Machinery</t>
  </si>
  <si>
    <t xml:space="preserve">      Buildings,Fences etc.</t>
  </si>
  <si>
    <t xml:space="preserve">       Cows</t>
  </si>
  <si>
    <t xml:space="preserve">      Bulls</t>
  </si>
  <si>
    <t xml:space="preserve">        Total Cost</t>
  </si>
  <si>
    <t xml:space="preserve">        Total Machinery Cost</t>
  </si>
  <si>
    <t xml:space="preserve">        Total Fence &amp; Pasture</t>
  </si>
  <si>
    <t xml:space="preserve">        Total Livestock Cost</t>
  </si>
  <si>
    <t xml:space="preserve">     Miscellaneous </t>
  </si>
  <si>
    <t xml:space="preserve">      Miscellaneous </t>
  </si>
  <si>
    <t xml:space="preserve">      Cows</t>
  </si>
  <si>
    <t xml:space="preserve">     Fence Investment</t>
  </si>
  <si>
    <t xml:space="preserve">    Land Investment</t>
  </si>
  <si>
    <t>ELK HERD PROFILE</t>
  </si>
  <si>
    <t>meat price $1</t>
  </si>
  <si>
    <t>breeding</t>
  </si>
  <si>
    <t>meat/trophy</t>
  </si>
  <si>
    <t xml:space="preserve">  Mortality Rate (%)</t>
  </si>
  <si>
    <t>Velveting/bull</t>
  </si>
  <si>
    <t xml:space="preserve">    2.01   Vet. &amp; Registration</t>
  </si>
  <si>
    <t>bulls</t>
  </si>
  <si>
    <t xml:space="preserve">        Quad</t>
  </si>
  <si>
    <t>Ian Thorleifson</t>
  </si>
  <si>
    <t>Elk Producer</t>
  </si>
  <si>
    <t xml:space="preserve">        A. Operating Costs</t>
  </si>
  <si>
    <t xml:space="preserve">        B. Operating &amp; Fixed Costs</t>
  </si>
  <si>
    <t xml:space="preserve">        C. Operating, Fixed &amp; Labour Costs</t>
  </si>
  <si>
    <t>Breakeven*</t>
  </si>
  <si>
    <t>The budget estimates are based on a number of assumptions which are clearly defined in the supporting pages. Productivity and performance assumptions are based on data supplied by specialists as well as data collected from certain producers. Input costs are based on recommended practices and/or information obtained from producers. Good management is assumed in that a balanced ration is being fed, livestock are on a herd health program and handling facilities are included.</t>
  </si>
  <si>
    <t xml:space="preserve">The guideline can be useful for comparison purposes. Comparison of costs at different levels of production can be made with other farms; the farm over time to track profits or losses; or comparing the plan with the actual production at the end of the planning period.  </t>
  </si>
  <si>
    <r>
      <t>Disclaimer</t>
    </r>
    <r>
      <rPr>
        <sz val="12"/>
        <rFont val="Arial"/>
        <family val="2"/>
      </rPr>
      <t>: This budget is only a guide and is not intended as an in depth study of the cost of production of the Manitoba Elk industry. Interpretation and utilization of this information is the responsibility of the user. If you require assistance with developing your individual budget, please contact your local MAF Farm Management Specialist or Livestock Specialist.</t>
    </r>
  </si>
  <si>
    <t>Cow Medication $/head</t>
  </si>
  <si>
    <t>Calf Medication $/head</t>
  </si>
  <si>
    <t>DNA &amp; Blood Testing $/head</t>
  </si>
  <si>
    <t>Vet and Medicine for Bulls $/head</t>
  </si>
  <si>
    <t xml:space="preserve">  a) Machinery   -  total fuel costs</t>
  </si>
  <si>
    <t xml:space="preserve">                           -  total repairs</t>
  </si>
  <si>
    <t xml:space="preserve">  b) Buildings,Fences etc. total costs</t>
  </si>
  <si>
    <t xml:space="preserve">     Total hydro costs</t>
  </si>
  <si>
    <t xml:space="preserve">     Total water costs</t>
  </si>
  <si>
    <t xml:space="preserve">     Total telephone costs</t>
  </si>
  <si>
    <t xml:space="preserve">        Annual cost for removal</t>
  </si>
  <si>
    <t>velveting costs</t>
  </si>
  <si>
    <t xml:space="preserve">        Total Building Cost</t>
  </si>
  <si>
    <t>Original</t>
  </si>
  <si>
    <t>Value</t>
  </si>
  <si>
    <t xml:space="preserve">Salvage </t>
  </si>
  <si>
    <t xml:space="preserve">Useful </t>
  </si>
  <si>
    <t>Life</t>
  </si>
  <si>
    <t xml:space="preserve">    (yrs)</t>
  </si>
  <si>
    <t xml:space="preserve">        Waterers (2 @ $1,000)</t>
  </si>
  <si>
    <t xml:space="preserve">  Number of pasture acres</t>
  </si>
  <si>
    <t xml:space="preserve">  Value of pasture per acre</t>
  </si>
  <si>
    <t xml:space="preserve">  Fence Cost - per mile</t>
  </si>
  <si>
    <t xml:space="preserve">  Total fence distance - miles</t>
  </si>
  <si>
    <t xml:space="preserve">  Price Received/Cull Bull ( meat &amp; trophy)</t>
  </si>
  <si>
    <t xml:space="preserve">    Tractor, Loader &amp; Quad</t>
  </si>
  <si>
    <t>number bulls</t>
  </si>
  <si>
    <t>kg grain/day</t>
  </si>
  <si>
    <t xml:space="preserve">  Miscellaneous:</t>
  </si>
  <si>
    <t xml:space="preserve">  Land &amp; Fence</t>
  </si>
  <si>
    <t xml:space="preserve">        Total Land &amp; Fence</t>
  </si>
  <si>
    <t>% investment rate</t>
  </si>
  <si>
    <r>
      <t>Disclaimer:</t>
    </r>
    <r>
      <rPr>
        <sz val="9"/>
        <rFont val="Arial"/>
        <family val="2"/>
      </rPr>
      <t xml:space="preserve"> This budget is only a guide and is not intended as an in depth study of the cost of production of this industry. Interpretation and utilization of this information is the responsibility of the user.</t>
    </r>
  </si>
  <si>
    <t>September, 2003</t>
  </si>
  <si>
    <t>/ cow parasite control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</si>
</sst>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
    <numFmt numFmtId="174" formatCode="mmmm/yy"/>
    <numFmt numFmtId="175" formatCode="mmmm/yyyy"/>
    <numFmt numFmtId="176" formatCode="&quot;$&quot;#,##0.00"/>
    <numFmt numFmtId="177" formatCode="&quot;$&quot;#,##0.0;\-&quot;$&quot;#,##0.0"/>
    <numFmt numFmtId="178" formatCode="#,##0_ ;\-#,##0\ "/>
    <numFmt numFmtId="179" formatCode="0.0"/>
    <numFmt numFmtId="180" formatCode="#,##0.000"/>
  </numFmts>
  <fonts count="16">
    <font>
      <sz val="12"/>
      <name val="Arial"/>
      <family val="0"/>
    </font>
    <font>
      <b/>
      <sz val="12"/>
      <name val="Arial"/>
      <family val="0"/>
    </font>
    <font>
      <b/>
      <u val="single"/>
      <sz val="12"/>
      <name val="Arial"/>
      <family val="0"/>
    </font>
    <font>
      <u val="single"/>
      <sz val="12"/>
      <name val="Arial"/>
      <family val="0"/>
    </font>
    <font>
      <b/>
      <sz val="14"/>
      <name val="Arial"/>
      <family val="0"/>
    </font>
    <font>
      <sz val="14"/>
      <name val="Arial"/>
      <family val="2"/>
    </font>
    <font>
      <b/>
      <sz val="18"/>
      <name val="Arial"/>
      <family val="2"/>
    </font>
    <font>
      <b/>
      <sz val="24"/>
      <name val="Arial"/>
      <family val="2"/>
    </font>
    <font>
      <b/>
      <i/>
      <u val="single"/>
      <sz val="12"/>
      <name val="Arial"/>
      <family val="2"/>
    </font>
    <font>
      <b/>
      <i/>
      <sz val="12"/>
      <name val="Arial"/>
      <family val="2"/>
    </font>
    <font>
      <b/>
      <sz val="10"/>
      <name val="Arial"/>
      <family val="2"/>
    </font>
    <font>
      <b/>
      <sz val="12"/>
      <color indexed="12"/>
      <name val="Arial"/>
      <family val="2"/>
    </font>
    <font>
      <b/>
      <u val="single"/>
      <sz val="12"/>
      <color indexed="12"/>
      <name val="Arial"/>
      <family val="2"/>
    </font>
    <font>
      <b/>
      <sz val="9"/>
      <name val="Arial"/>
      <family val="2"/>
    </font>
    <font>
      <sz val="9"/>
      <name val="Arial"/>
      <family val="2"/>
    </font>
    <font>
      <b/>
      <sz val="12"/>
      <color indexed="48"/>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1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0" fillId="0" borderId="0">
      <alignment vertical="top"/>
      <protection/>
    </xf>
  </cellStyleXfs>
  <cellXfs count="102">
    <xf numFmtId="3" fontId="0" fillId="0" borderId="0" xfId="0" applyAlignment="1">
      <alignment/>
    </xf>
    <xf numFmtId="3" fontId="5" fillId="0" borderId="0" xfId="0" applyFont="1" applyAlignment="1">
      <alignment/>
    </xf>
    <xf numFmtId="175" fontId="4" fillId="0" borderId="0" xfId="0" applyNumberFormat="1" applyFont="1" applyAlignment="1">
      <alignment horizontal="right"/>
    </xf>
    <xf numFmtId="175" fontId="4" fillId="0" borderId="0" xfId="0" applyNumberFormat="1" applyFont="1" applyAlignment="1">
      <alignment horizontal="left"/>
    </xf>
    <xf numFmtId="3" fontId="1" fillId="0" borderId="0" xfId="0" applyFont="1" applyAlignment="1" applyProtection="1">
      <alignment/>
      <protection/>
    </xf>
    <xf numFmtId="3" fontId="0" fillId="0" borderId="0" xfId="0" applyFont="1" applyAlignment="1" applyProtection="1">
      <alignment/>
      <protection/>
    </xf>
    <xf numFmtId="3" fontId="6" fillId="0" borderId="0" xfId="0" applyFont="1" applyAlignment="1">
      <alignment horizontal="right"/>
    </xf>
    <xf numFmtId="3" fontId="0" fillId="0" borderId="0" xfId="0" applyAlignment="1">
      <alignment vertical="top" wrapText="1"/>
    </xf>
    <xf numFmtId="3" fontId="11" fillId="0" borderId="0" xfId="0" applyFont="1" applyAlignment="1" applyProtection="1">
      <alignment/>
      <protection locked="0"/>
    </xf>
    <xf numFmtId="172" fontId="11" fillId="0" borderId="0" xfId="0" applyNumberFormat="1" applyFont="1" applyAlignment="1" applyProtection="1">
      <alignment/>
      <protection locked="0"/>
    </xf>
    <xf numFmtId="3" fontId="1" fillId="0" borderId="0" xfId="0" applyFont="1" applyAlignment="1" applyProtection="1">
      <alignment/>
      <protection locked="0"/>
    </xf>
    <xf numFmtId="5" fontId="11" fillId="0" borderId="0" xfId="0" applyNumberFormat="1" applyFont="1" applyAlignment="1" applyProtection="1">
      <alignment/>
      <protection locked="0"/>
    </xf>
    <xf numFmtId="3" fontId="6" fillId="0" borderId="0" xfId="0" applyFont="1" applyAlignment="1">
      <alignment horizontal="right" vertical="top"/>
    </xf>
    <xf numFmtId="3" fontId="7" fillId="0" borderId="0" xfId="0" applyFont="1" applyAlignment="1">
      <alignment horizontal="right" vertical="top"/>
    </xf>
    <xf numFmtId="3" fontId="0" fillId="0" borderId="0" xfId="0" applyAlignment="1">
      <alignment vertical="top"/>
    </xf>
    <xf numFmtId="7" fontId="11" fillId="0" borderId="0" xfId="0" applyNumberFormat="1" applyFont="1" applyAlignment="1" applyProtection="1">
      <alignment/>
      <protection locked="0"/>
    </xf>
    <xf numFmtId="173" fontId="11" fillId="0" borderId="0" xfId="0" applyNumberFormat="1" applyFont="1" applyAlignment="1" applyProtection="1">
      <alignment/>
      <protection locked="0"/>
    </xf>
    <xf numFmtId="173" fontId="12" fillId="0" borderId="0" xfId="0" applyNumberFormat="1" applyFont="1" applyAlignment="1" applyProtection="1">
      <alignment/>
      <protection locked="0"/>
    </xf>
    <xf numFmtId="179" fontId="11" fillId="0" borderId="0" xfId="0" applyNumberFormat="1" applyFont="1" applyAlignment="1" applyProtection="1">
      <alignment/>
      <protection locked="0"/>
    </xf>
    <xf numFmtId="3" fontId="4" fillId="0" borderId="0" xfId="0" applyFont="1" applyAlignment="1" applyProtection="1">
      <alignment horizontal="center"/>
      <protection/>
    </xf>
    <xf numFmtId="3" fontId="5" fillId="0" borderId="0" xfId="0" applyFont="1" applyAlignment="1" applyProtection="1">
      <alignment horizontal="center"/>
      <protection/>
    </xf>
    <xf numFmtId="3" fontId="0" fillId="0" borderId="0" xfId="0" applyAlignment="1" applyProtection="1">
      <alignment/>
      <protection/>
    </xf>
    <xf numFmtId="3" fontId="11" fillId="0" borderId="0" xfId="0" applyFont="1" applyAlignment="1" applyProtection="1">
      <alignment/>
      <protection/>
    </xf>
    <xf numFmtId="173" fontId="0" fillId="2" borderId="0" xfId="0" applyNumberFormat="1" applyFill="1" applyAlignment="1" applyProtection="1">
      <alignment/>
      <protection/>
    </xf>
    <xf numFmtId="3" fontId="1" fillId="0" borderId="0" xfId="0" applyFont="1" applyAlignment="1" applyProtection="1">
      <alignment horizontal="right"/>
      <protection/>
    </xf>
    <xf numFmtId="7" fontId="0" fillId="0" borderId="0" xfId="0" applyNumberFormat="1" applyAlignment="1" applyProtection="1">
      <alignment/>
      <protection/>
    </xf>
    <xf numFmtId="3" fontId="3" fillId="0" borderId="0" xfId="0" applyFont="1" applyAlignment="1" applyProtection="1">
      <alignment horizontal="center"/>
      <protection/>
    </xf>
    <xf numFmtId="172" fontId="0" fillId="0" borderId="0" xfId="0" applyNumberFormat="1" applyAlignment="1" applyProtection="1">
      <alignment/>
      <protection/>
    </xf>
    <xf numFmtId="0" fontId="1" fillId="0" borderId="0" xfId="0" applyNumberFormat="1" applyFont="1" applyAlignment="1" applyProtection="1">
      <alignment/>
      <protection/>
    </xf>
    <xf numFmtId="7" fontId="1" fillId="0" borderId="0" xfId="0" applyNumberFormat="1" applyFont="1" applyAlignment="1" applyProtection="1">
      <alignment/>
      <protection/>
    </xf>
    <xf numFmtId="5" fontId="0" fillId="0" borderId="0" xfId="0" applyNumberFormat="1" applyAlignment="1" applyProtection="1">
      <alignment/>
      <protection/>
    </xf>
    <xf numFmtId="0" fontId="3" fillId="0" borderId="0" xfId="0" applyNumberFormat="1" applyFont="1" applyAlignment="1" applyProtection="1">
      <alignment/>
      <protection/>
    </xf>
    <xf numFmtId="7" fontId="1" fillId="0" borderId="0" xfId="0" applyNumberFormat="1" applyFont="1" applyAlignment="1" applyProtection="1">
      <alignment horizontal="center"/>
      <protection/>
    </xf>
    <xf numFmtId="3" fontId="1" fillId="0" borderId="0" xfId="0" applyFont="1" applyAlignment="1" applyProtection="1">
      <alignment horizontal="center"/>
      <protection/>
    </xf>
    <xf numFmtId="3" fontId="2" fillId="0" borderId="0" xfId="0" applyFont="1" applyAlignment="1" applyProtection="1">
      <alignment horizontal="center"/>
      <protection/>
    </xf>
    <xf numFmtId="7" fontId="2" fillId="0" borderId="0" xfId="0" applyNumberFormat="1" applyFont="1" applyAlignment="1" applyProtection="1">
      <alignment horizontal="center"/>
      <protection/>
    </xf>
    <xf numFmtId="3" fontId="3" fillId="0" borderId="0" xfId="0" applyFont="1" applyAlignment="1" applyProtection="1">
      <alignment/>
      <protection/>
    </xf>
    <xf numFmtId="5" fontId="1" fillId="0" borderId="0" xfId="0" applyNumberFormat="1" applyFont="1" applyAlignment="1" applyProtection="1">
      <alignment/>
      <protection/>
    </xf>
    <xf numFmtId="173" fontId="1" fillId="0" borderId="0" xfId="0" applyNumberFormat="1" applyFont="1" applyAlignment="1" applyProtection="1">
      <alignment/>
      <protection/>
    </xf>
    <xf numFmtId="3" fontId="0" fillId="0" borderId="0" xfId="0"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protection/>
    </xf>
    <xf numFmtId="5" fontId="1" fillId="0" borderId="0" xfId="0" applyNumberFormat="1" applyFont="1" applyAlignment="1" applyProtection="1">
      <alignment/>
      <protection/>
    </xf>
    <xf numFmtId="3" fontId="0" fillId="0" borderId="0" xfId="0" applyAlignment="1" applyProtection="1">
      <alignment horizontal="center"/>
      <protection/>
    </xf>
    <xf numFmtId="7" fontId="2" fillId="0" borderId="0" xfId="0" applyNumberFormat="1" applyFont="1" applyAlignment="1" applyProtection="1">
      <alignment horizontal="center"/>
      <protection/>
    </xf>
    <xf numFmtId="5" fontId="2" fillId="0" borderId="0" xfId="0" applyNumberFormat="1" applyFont="1" applyAlignment="1" applyProtection="1">
      <alignment horizontal="center"/>
      <protection/>
    </xf>
    <xf numFmtId="176" fontId="0" fillId="0" borderId="0" xfId="0" applyNumberFormat="1" applyAlignment="1" applyProtection="1">
      <alignment/>
      <protection/>
    </xf>
    <xf numFmtId="173" fontId="0" fillId="0" borderId="0" xfId="0" applyNumberFormat="1" applyAlignment="1" applyProtection="1">
      <alignment/>
      <protection/>
    </xf>
    <xf numFmtId="3" fontId="0" fillId="0" borderId="1" xfId="0" applyBorder="1" applyAlignment="1" applyProtection="1">
      <alignment/>
      <protection/>
    </xf>
    <xf numFmtId="176" fontId="3" fillId="0" borderId="0" xfId="0" applyNumberFormat="1" applyFont="1" applyAlignment="1" applyProtection="1">
      <alignment/>
      <protection/>
    </xf>
    <xf numFmtId="173" fontId="3" fillId="0" borderId="0" xfId="0" applyNumberFormat="1" applyFont="1" applyAlignment="1" applyProtection="1">
      <alignment/>
      <protection/>
    </xf>
    <xf numFmtId="4" fontId="0" fillId="0" borderId="0" xfId="0" applyNumberFormat="1" applyAlignment="1" applyProtection="1">
      <alignment/>
      <protection/>
    </xf>
    <xf numFmtId="176" fontId="3" fillId="0" borderId="0" xfId="0" applyNumberFormat="1" applyFont="1" applyAlignment="1" applyProtection="1">
      <alignment/>
      <protection/>
    </xf>
    <xf numFmtId="173" fontId="3" fillId="0" borderId="0" xfId="0" applyNumberFormat="1" applyFont="1" applyAlignment="1" applyProtection="1">
      <alignment/>
      <protection/>
    </xf>
    <xf numFmtId="3" fontId="0" fillId="0" borderId="2" xfId="0" applyBorder="1" applyAlignment="1" applyProtection="1">
      <alignment/>
      <protection/>
    </xf>
    <xf numFmtId="3" fontId="0" fillId="0" borderId="0" xfId="0" applyBorder="1" applyAlignment="1" applyProtection="1">
      <alignment/>
      <protection/>
    </xf>
    <xf numFmtId="3" fontId="10" fillId="0" borderId="0" xfId="0" applyFont="1" applyAlignment="1" applyProtection="1">
      <alignment/>
      <protection/>
    </xf>
    <xf numFmtId="3" fontId="10" fillId="0" borderId="0" xfId="0" applyFont="1" applyAlignment="1" applyProtection="1">
      <alignment/>
      <protection/>
    </xf>
    <xf numFmtId="0" fontId="0" fillId="0" borderId="0" xfId="0" applyAlignment="1" applyProtection="1">
      <alignment vertical="top"/>
      <protection/>
    </xf>
    <xf numFmtId="3" fontId="0" fillId="0" borderId="0" xfId="0" applyAlignment="1" applyProtection="1">
      <alignment vertical="top"/>
      <protection/>
    </xf>
    <xf numFmtId="3" fontId="0" fillId="0" borderId="0" xfId="0" applyFont="1" applyAlignment="1" applyProtection="1">
      <alignment horizontal="left"/>
      <protection/>
    </xf>
    <xf numFmtId="3" fontId="2" fillId="0" borderId="0" xfId="0" applyFont="1" applyAlignment="1" applyProtection="1">
      <alignment/>
      <protection/>
    </xf>
    <xf numFmtId="7" fontId="3" fillId="0" borderId="0" xfId="0" applyNumberFormat="1" applyFont="1" applyAlignment="1" applyProtection="1">
      <alignment/>
      <protection/>
    </xf>
    <xf numFmtId="3" fontId="0" fillId="0" borderId="0" xfId="0" applyNumberFormat="1" applyAlignment="1" applyProtection="1">
      <alignment/>
      <protection/>
    </xf>
    <xf numFmtId="3" fontId="14" fillId="0" borderId="0" xfId="0" applyFont="1" applyAlignment="1" applyProtection="1">
      <alignment wrapText="1"/>
      <protection/>
    </xf>
    <xf numFmtId="0" fontId="4" fillId="0" borderId="0" xfId="0" applyNumberFormat="1" applyFont="1" applyAlignment="1" applyProtection="1">
      <alignment horizontal="center"/>
      <protection/>
    </xf>
    <xf numFmtId="178" fontId="0" fillId="0" borderId="0" xfId="0" applyNumberForma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172" fontId="3" fillId="0" borderId="0" xfId="0" applyNumberFormat="1" applyFont="1" applyAlignment="1" applyProtection="1">
      <alignment/>
      <protection/>
    </xf>
    <xf numFmtId="5" fontId="3" fillId="0" borderId="0" xfId="0" applyNumberFormat="1" applyFont="1" applyAlignment="1" applyProtection="1">
      <alignment/>
      <protection/>
    </xf>
    <xf numFmtId="179" fontId="0" fillId="0" borderId="0" xfId="0" applyNumberFormat="1" applyAlignment="1" applyProtection="1">
      <alignment/>
      <protection/>
    </xf>
    <xf numFmtId="0" fontId="3" fillId="0" borderId="0" xfId="0" applyNumberFormat="1" applyFont="1" applyAlignment="1" applyProtection="1">
      <alignment horizontal="center"/>
      <protection/>
    </xf>
    <xf numFmtId="0" fontId="1" fillId="0" borderId="0" xfId="0" applyNumberFormat="1" applyFont="1" applyAlignment="1" applyProtection="1">
      <alignment horizontal="center"/>
      <protection/>
    </xf>
    <xf numFmtId="4" fontId="3" fillId="0" borderId="0" xfId="0" applyNumberFormat="1" applyFont="1" applyAlignment="1" applyProtection="1">
      <alignment/>
      <protection/>
    </xf>
    <xf numFmtId="5" fontId="0" fillId="0" borderId="0" xfId="0" applyNumberFormat="1" applyFont="1" applyAlignment="1" applyProtection="1">
      <alignment/>
      <protection/>
    </xf>
    <xf numFmtId="0" fontId="0" fillId="0" borderId="0" xfId="0" applyNumberFormat="1" applyFont="1" applyAlignment="1" applyProtection="1">
      <alignment/>
      <protection/>
    </xf>
    <xf numFmtId="1" fontId="0" fillId="0" borderId="0" xfId="0" applyNumberFormat="1" applyAlignment="1" applyProtection="1">
      <alignment/>
      <protection/>
    </xf>
    <xf numFmtId="1" fontId="3" fillId="0" borderId="0" xfId="0" applyNumberFormat="1" applyFont="1" applyAlignment="1" applyProtection="1">
      <alignment/>
      <protection/>
    </xf>
    <xf numFmtId="3" fontId="8" fillId="0" borderId="0" xfId="0" applyFont="1" applyAlignment="1" applyProtection="1">
      <alignment/>
      <protection/>
    </xf>
    <xf numFmtId="3" fontId="9" fillId="0" borderId="0" xfId="0" applyFont="1" applyAlignment="1" applyProtection="1">
      <alignment/>
      <protection/>
    </xf>
    <xf numFmtId="179" fontId="3" fillId="0" borderId="0" xfId="0" applyNumberFormat="1" applyFont="1" applyAlignment="1" applyProtection="1">
      <alignment/>
      <protection/>
    </xf>
    <xf numFmtId="173" fontId="0" fillId="0" borderId="0" xfId="0" applyNumberFormat="1" applyFont="1" applyAlignment="1" applyProtection="1">
      <alignment/>
      <protection/>
    </xf>
    <xf numFmtId="176" fontId="1" fillId="0" borderId="0" xfId="15" applyFont="1" applyAlignment="1">
      <alignment vertical="top" wrapText="1"/>
      <protection/>
    </xf>
    <xf numFmtId="3" fontId="0" fillId="0" borderId="0" xfId="0" applyAlignment="1">
      <alignment vertical="top" wrapText="1"/>
    </xf>
    <xf numFmtId="3" fontId="7" fillId="0" borderId="0" xfId="0" applyFont="1" applyAlignment="1">
      <alignment horizontal="right" vertical="center" wrapText="1"/>
    </xf>
    <xf numFmtId="3" fontId="0" fillId="0" borderId="0" xfId="0" applyAlignment="1">
      <alignment horizontal="right" vertical="center" wrapText="1"/>
    </xf>
    <xf numFmtId="3" fontId="6" fillId="0" borderId="0" xfId="0" applyFont="1" applyAlignment="1">
      <alignment horizontal="right" vertical="center" wrapText="1"/>
    </xf>
    <xf numFmtId="3" fontId="6" fillId="0" borderId="0" xfId="0" applyFont="1" applyAlignment="1">
      <alignment horizontal="right" wrapText="1"/>
    </xf>
    <xf numFmtId="3" fontId="0" fillId="0" borderId="0" xfId="0" applyAlignment="1">
      <alignment horizontal="right" wrapText="1"/>
    </xf>
    <xf numFmtId="176" fontId="0" fillId="0" borderId="0" xfId="15" applyFont="1" applyAlignment="1">
      <alignment vertical="top" wrapText="1"/>
      <protection/>
    </xf>
    <xf numFmtId="3" fontId="3" fillId="0" borderId="0" xfId="0" applyFont="1" applyAlignment="1" applyProtection="1">
      <alignment horizontal="center"/>
      <protection/>
    </xf>
    <xf numFmtId="3" fontId="4" fillId="0" borderId="0" xfId="0" applyFont="1" applyAlignment="1" applyProtection="1">
      <alignment horizontal="center"/>
      <protection/>
    </xf>
    <xf numFmtId="3" fontId="5" fillId="0" borderId="0" xfId="0" applyFont="1" applyAlignment="1" applyProtection="1">
      <alignment horizontal="center"/>
      <protection/>
    </xf>
    <xf numFmtId="176" fontId="13" fillId="0" borderId="0" xfId="15" applyFont="1" applyAlignment="1" applyProtection="1">
      <alignment vertical="top" wrapText="1"/>
      <protection/>
    </xf>
    <xf numFmtId="3" fontId="8" fillId="0" borderId="0" xfId="0" applyFont="1" applyAlignment="1" applyProtection="1">
      <alignment horizontal="center"/>
      <protection/>
    </xf>
    <xf numFmtId="3" fontId="9" fillId="0" borderId="0" xfId="0" applyFont="1" applyAlignment="1" applyProtection="1">
      <alignment horizontal="center"/>
      <protection/>
    </xf>
    <xf numFmtId="3" fontId="1" fillId="0" borderId="0" xfId="0" applyFont="1" applyAlignment="1" applyProtection="1">
      <alignment horizontal="center"/>
      <protection/>
    </xf>
    <xf numFmtId="3" fontId="0" fillId="0" borderId="0" xfId="0" applyFont="1" applyAlignment="1" applyProtection="1" quotePrefix="1">
      <alignment vertical="top" wrapText="1"/>
      <protection/>
    </xf>
    <xf numFmtId="3" fontId="0" fillId="0" borderId="0" xfId="0" applyAlignment="1" applyProtection="1">
      <alignment vertical="top" wrapText="1"/>
      <protection/>
    </xf>
  </cellXfs>
  <cellStyles count="2">
    <cellStyle name="Normal" xfId="0"/>
    <cellStyle name="Normal_Farrow-Wean 50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2:I41"/>
  <sheetViews>
    <sheetView showGridLines="0" tabSelected="1" workbookViewId="0" topLeftCell="A1">
      <selection activeCell="A1" sqref="A1"/>
    </sheetView>
  </sheetViews>
  <sheetFormatPr defaultColWidth="8.88671875" defaultRowHeight="15"/>
  <cols>
    <col min="1" max="1" width="3.99609375" style="0" customWidth="1"/>
    <col min="9" max="9" width="10.5546875" style="0" customWidth="1"/>
  </cols>
  <sheetData>
    <row r="2" spans="4:9" ht="23.25">
      <c r="D2" s="89" t="s">
        <v>140</v>
      </c>
      <c r="E2" s="88"/>
      <c r="F2" s="88"/>
      <c r="G2" s="88"/>
      <c r="H2" s="88"/>
      <c r="I2" s="12"/>
    </row>
    <row r="3" spans="4:9" ht="30">
      <c r="D3" s="87" t="s">
        <v>141</v>
      </c>
      <c r="E3" s="88"/>
      <c r="F3" s="88"/>
      <c r="G3" s="88"/>
      <c r="H3" s="88"/>
      <c r="I3" s="13"/>
    </row>
    <row r="4" spans="4:9" ht="23.25">
      <c r="D4" s="90" t="str">
        <f>"Based on a herd of "&amp;Input!F4&amp;" cows"</f>
        <v>Based on a herd of 30 cows</v>
      </c>
      <c r="E4" s="91"/>
      <c r="F4" s="91"/>
      <c r="G4" s="91"/>
      <c r="H4" s="91"/>
      <c r="I4" s="6"/>
    </row>
    <row r="7" spans="6:8" ht="18">
      <c r="F7" s="3"/>
      <c r="H7" s="2" t="s">
        <v>261</v>
      </c>
    </row>
    <row r="8" spans="8:9" ht="18">
      <c r="H8" s="2"/>
      <c r="I8" s="3"/>
    </row>
    <row r="9" spans="8:9" ht="18">
      <c r="H9" s="2"/>
      <c r="I9" s="3"/>
    </row>
    <row r="10" spans="8:9" ht="18">
      <c r="H10" s="2"/>
      <c r="I10" s="3"/>
    </row>
    <row r="12" spans="2:9" ht="15" customHeight="1">
      <c r="B12" s="86" t="str">
        <f>"This guide is designed to provide planning information and a format for calculating costs of production on a "&amp;Input!F4&amp;" cow calf elk enterprise. The production costs included in this enterprise budget are not intended as a cost study of the elk industry in Manitoba. Adjustments will be necessary when applying these figures to your own enterprise."</f>
        <v>This guide is designed to provide planning information and a format for calculating costs of production on a 30 cow calf elk enterprise. The production costs included in this enterprise budget are not intended as a cost study of the elk industry in Manitoba. Adjustments will be necessary when applying these figures to your own enterprise.</v>
      </c>
      <c r="C12" s="86"/>
      <c r="D12" s="86"/>
      <c r="E12" s="86"/>
      <c r="F12" s="86"/>
      <c r="G12" s="86"/>
      <c r="H12" s="86"/>
      <c r="I12" s="14"/>
    </row>
    <row r="13" spans="2:9" ht="15" customHeight="1">
      <c r="B13" s="86"/>
      <c r="C13" s="86"/>
      <c r="D13" s="86"/>
      <c r="E13" s="86"/>
      <c r="F13" s="86"/>
      <c r="G13" s="86"/>
      <c r="H13" s="86"/>
      <c r="I13" s="14"/>
    </row>
    <row r="14" spans="2:9" ht="15" customHeight="1">
      <c r="B14" s="86"/>
      <c r="C14" s="86"/>
      <c r="D14" s="86"/>
      <c r="E14" s="86"/>
      <c r="F14" s="86"/>
      <c r="G14" s="86"/>
      <c r="H14" s="86"/>
      <c r="I14" s="14"/>
    </row>
    <row r="15" spans="2:9" ht="15" customHeight="1">
      <c r="B15" s="86"/>
      <c r="C15" s="86"/>
      <c r="D15" s="86"/>
      <c r="E15" s="86"/>
      <c r="F15" s="86"/>
      <c r="G15" s="86"/>
      <c r="H15" s="86"/>
      <c r="I15" s="14"/>
    </row>
    <row r="16" spans="2:9" ht="15" customHeight="1">
      <c r="B16" s="86"/>
      <c r="C16" s="86"/>
      <c r="D16" s="86"/>
      <c r="E16" s="86"/>
      <c r="F16" s="86"/>
      <c r="G16" s="86"/>
      <c r="H16" s="86"/>
      <c r="I16" s="7"/>
    </row>
    <row r="17" ht="15" customHeight="1">
      <c r="B17" s="1"/>
    </row>
    <row r="18" spans="2:9" ht="15" customHeight="1">
      <c r="B18" s="92" t="s">
        <v>225</v>
      </c>
      <c r="C18" s="86"/>
      <c r="D18" s="86"/>
      <c r="E18" s="86"/>
      <c r="F18" s="86"/>
      <c r="G18" s="86"/>
      <c r="H18" s="86"/>
      <c r="I18" s="14"/>
    </row>
    <row r="19" spans="2:9" ht="15" customHeight="1">
      <c r="B19" s="86"/>
      <c r="C19" s="86"/>
      <c r="D19" s="86"/>
      <c r="E19" s="86"/>
      <c r="F19" s="86"/>
      <c r="G19" s="86"/>
      <c r="H19" s="86"/>
      <c r="I19" s="14"/>
    </row>
    <row r="20" spans="2:9" ht="15" customHeight="1">
      <c r="B20" s="86"/>
      <c r="C20" s="86"/>
      <c r="D20" s="86"/>
      <c r="E20" s="86"/>
      <c r="F20" s="86"/>
      <c r="G20" s="86"/>
      <c r="H20" s="86"/>
      <c r="I20" s="14"/>
    </row>
    <row r="21" spans="2:9" ht="15" customHeight="1">
      <c r="B21" s="86"/>
      <c r="C21" s="86"/>
      <c r="D21" s="86"/>
      <c r="E21" s="86"/>
      <c r="F21" s="86"/>
      <c r="G21" s="86"/>
      <c r="H21" s="86"/>
      <c r="I21" s="14"/>
    </row>
    <row r="22" spans="2:9" ht="15" customHeight="1">
      <c r="B22" s="86"/>
      <c r="C22" s="86"/>
      <c r="D22" s="86"/>
      <c r="E22" s="86"/>
      <c r="F22" s="86"/>
      <c r="G22" s="86"/>
      <c r="H22" s="86"/>
      <c r="I22" s="14"/>
    </row>
    <row r="23" spans="2:9" ht="15" customHeight="1">
      <c r="B23" s="86"/>
      <c r="C23" s="86"/>
      <c r="D23" s="86"/>
      <c r="E23" s="86"/>
      <c r="F23" s="86"/>
      <c r="G23" s="86"/>
      <c r="H23" s="86"/>
      <c r="I23" s="14"/>
    </row>
    <row r="24" spans="2:9" ht="15" customHeight="1">
      <c r="B24" s="86"/>
      <c r="C24" s="86"/>
      <c r="D24" s="86"/>
      <c r="E24" s="86"/>
      <c r="F24" s="86"/>
      <c r="G24" s="86"/>
      <c r="H24" s="86"/>
      <c r="I24" s="7"/>
    </row>
    <row r="25" ht="15" customHeight="1">
      <c r="B25" s="1"/>
    </row>
    <row r="26" spans="2:9" ht="15" customHeight="1">
      <c r="B26" s="92" t="s">
        <v>226</v>
      </c>
      <c r="C26" s="86"/>
      <c r="D26" s="86"/>
      <c r="E26" s="86"/>
      <c r="F26" s="86"/>
      <c r="G26" s="86"/>
      <c r="H26" s="86"/>
      <c r="I26" s="14"/>
    </row>
    <row r="27" spans="2:9" ht="15" customHeight="1">
      <c r="B27" s="86"/>
      <c r="C27" s="86"/>
      <c r="D27" s="86"/>
      <c r="E27" s="86"/>
      <c r="F27" s="86"/>
      <c r="G27" s="86"/>
      <c r="H27" s="86"/>
      <c r="I27" s="14"/>
    </row>
    <row r="28" spans="2:9" ht="15" customHeight="1">
      <c r="B28" s="86"/>
      <c r="C28" s="86"/>
      <c r="D28" s="86"/>
      <c r="E28" s="86"/>
      <c r="F28" s="86"/>
      <c r="G28" s="86"/>
      <c r="H28" s="86"/>
      <c r="I28" s="14"/>
    </row>
    <row r="29" spans="2:9" ht="15" customHeight="1">
      <c r="B29" s="86"/>
      <c r="C29" s="86"/>
      <c r="D29" s="86"/>
      <c r="E29" s="86"/>
      <c r="F29" s="86"/>
      <c r="G29" s="86"/>
      <c r="H29" s="86"/>
      <c r="I29" s="7"/>
    </row>
    <row r="30" ht="15" customHeight="1">
      <c r="B30" s="1"/>
    </row>
    <row r="31" spans="2:9" ht="15" customHeight="1">
      <c r="B31" s="85" t="s">
        <v>227</v>
      </c>
      <c r="C31" s="86"/>
      <c r="D31" s="86"/>
      <c r="E31" s="86"/>
      <c r="F31" s="86"/>
      <c r="G31" s="86"/>
      <c r="H31" s="86"/>
      <c r="I31" s="14"/>
    </row>
    <row r="32" spans="2:9" ht="15" customHeight="1">
      <c r="B32" s="86"/>
      <c r="C32" s="86"/>
      <c r="D32" s="86"/>
      <c r="E32" s="86"/>
      <c r="F32" s="86"/>
      <c r="G32" s="86"/>
      <c r="H32" s="86"/>
      <c r="I32" s="14"/>
    </row>
    <row r="33" spans="2:9" ht="15" customHeight="1">
      <c r="B33" s="86"/>
      <c r="C33" s="86"/>
      <c r="D33" s="86"/>
      <c r="E33" s="86"/>
      <c r="F33" s="86"/>
      <c r="G33" s="86"/>
      <c r="H33" s="86"/>
      <c r="I33" s="14"/>
    </row>
    <row r="34" spans="2:9" ht="15" customHeight="1">
      <c r="B34" s="86"/>
      <c r="C34" s="86"/>
      <c r="D34" s="86"/>
      <c r="E34" s="86"/>
      <c r="F34" s="86"/>
      <c r="G34" s="86"/>
      <c r="H34" s="86"/>
      <c r="I34" s="14"/>
    </row>
    <row r="35" spans="2:9" ht="15" customHeight="1">
      <c r="B35" s="86"/>
      <c r="C35" s="86"/>
      <c r="D35" s="86"/>
      <c r="E35" s="86"/>
      <c r="F35" s="86"/>
      <c r="G35" s="86"/>
      <c r="H35" s="86"/>
      <c r="I35" s="14"/>
    </row>
    <row r="36" spans="2:9" ht="15" customHeight="1">
      <c r="B36" s="86"/>
      <c r="C36" s="86"/>
      <c r="D36" s="86"/>
      <c r="E36" s="86"/>
      <c r="F36" s="86"/>
      <c r="G36" s="86"/>
      <c r="H36" s="86"/>
      <c r="I36" s="14"/>
    </row>
    <row r="37" spans="2:9" ht="15" customHeight="1">
      <c r="B37" s="14"/>
      <c r="C37" s="14"/>
      <c r="D37" s="14"/>
      <c r="E37" s="14"/>
      <c r="F37" s="14"/>
      <c r="G37" s="14"/>
      <c r="H37" s="14"/>
      <c r="I37" s="14"/>
    </row>
    <row r="38" ht="15" customHeight="1">
      <c r="B38" s="1"/>
    </row>
    <row r="39" ht="15" customHeight="1">
      <c r="B39" s="1"/>
    </row>
    <row r="40" ht="15" customHeight="1">
      <c r="B40" s="1"/>
    </row>
    <row r="41" ht="15" customHeight="1">
      <c r="B41" s="1"/>
    </row>
    <row r="42" ht="15" customHeight="1"/>
    <row r="43" ht="15" customHeight="1"/>
    <row r="44" ht="15" customHeight="1"/>
    <row r="45" ht="15" customHeight="1"/>
  </sheetData>
  <sheetProtection password="C7C6" sheet="1" objects="1" scenarios="1"/>
  <mergeCells count="7">
    <mergeCell ref="B31:H36"/>
    <mergeCell ref="D3:H3"/>
    <mergeCell ref="D2:H2"/>
    <mergeCell ref="D4:H4"/>
    <mergeCell ref="B18:H24"/>
    <mergeCell ref="B26:H29"/>
    <mergeCell ref="B12:H16"/>
  </mergeCells>
  <printOptions horizontalCentered="1" verticalCentered="1"/>
  <pageMargins left="0.7480314960629921" right="0.7480314960629921" top="0.984251968503937" bottom="0.984251968503937" header="0.5118110236220472" footer="0.5118110236220472"/>
  <pageSetup horizontalDpi="300" verticalDpi="300" orientation="portrait" r:id="rId2"/>
  <colBreaks count="1" manualBreakCount="1">
    <brk id="9" max="65535" man="1"/>
  </colBreaks>
  <legacyDrawing r:id="rId1"/>
</worksheet>
</file>

<file path=xl/worksheets/sheet2.xml><?xml version="1.0" encoding="utf-8"?>
<worksheet xmlns="http://schemas.openxmlformats.org/spreadsheetml/2006/main" xmlns:r="http://schemas.openxmlformats.org/officeDocument/2006/relationships">
  <sheetPr codeName="Sheet2"/>
  <dimension ref="B2:R155"/>
  <sheetViews>
    <sheetView showGridLines="0" workbookViewId="0" topLeftCell="A1">
      <selection activeCell="A1" sqref="A1"/>
    </sheetView>
  </sheetViews>
  <sheetFormatPr defaultColWidth="8.88671875" defaultRowHeight="15"/>
  <cols>
    <col min="1" max="1" width="4.4453125" style="21" customWidth="1"/>
    <col min="2" max="2" width="12.6640625" style="21" customWidth="1"/>
    <col min="3" max="4" width="10.6640625" style="21" customWidth="1"/>
    <col min="5" max="5" width="16.6640625" style="21" customWidth="1"/>
    <col min="6" max="6" width="12.6640625" style="21" customWidth="1"/>
    <col min="7" max="7" width="8.6640625" style="21" customWidth="1"/>
    <col min="8" max="8" width="5.6640625" style="21" customWidth="1"/>
    <col min="9" max="9" width="10.6640625" style="21" customWidth="1"/>
    <col min="10" max="11" width="6.6640625" style="21" customWidth="1"/>
    <col min="12" max="14" width="4.6640625" style="21" customWidth="1"/>
    <col min="15" max="15" width="11.6640625" style="21" customWidth="1"/>
    <col min="16" max="16" width="6.6640625" style="21" customWidth="1"/>
    <col min="17" max="17" width="11.6640625" style="21" customWidth="1"/>
    <col min="18" max="18" width="7.6640625" style="21" customWidth="1"/>
    <col min="19" max="20" width="9.77734375" style="21" customWidth="1"/>
    <col min="21" max="21" width="10.6640625" style="21" customWidth="1"/>
    <col min="22" max="22" width="11.6640625" style="21" customWidth="1"/>
    <col min="23" max="23" width="2.6640625" style="21" customWidth="1"/>
    <col min="24" max="24" width="12.6640625" style="21" customWidth="1"/>
    <col min="25" max="25" width="9.6640625" style="21" customWidth="1"/>
    <col min="26" max="26" width="10.6640625" style="21" customWidth="1"/>
    <col min="27" max="29" width="9.77734375" style="21" customWidth="1"/>
    <col min="30" max="30" width="12.6640625" style="21" customWidth="1"/>
    <col min="31" max="31" width="4.6640625" style="21" customWidth="1"/>
    <col min="32" max="32" width="9.77734375" style="21" customWidth="1"/>
    <col min="33" max="33" width="9.6640625" style="21" customWidth="1"/>
    <col min="34" max="34" width="13.6640625" style="21" customWidth="1"/>
    <col min="35" max="35" width="1.66796875" style="21" customWidth="1"/>
    <col min="36" max="41" width="9.77734375" style="21" customWidth="1"/>
    <col min="42" max="42" width="9.6640625" style="21" customWidth="1"/>
    <col min="43" max="43" width="11.6640625" style="21" customWidth="1"/>
    <col min="44" max="44" width="1.66796875" style="21" customWidth="1"/>
    <col min="45" max="16384" width="9.77734375" style="21" customWidth="1"/>
  </cols>
  <sheetData>
    <row r="2" spans="2:18" ht="18">
      <c r="B2" s="94" t="s">
        <v>210</v>
      </c>
      <c r="C2" s="95"/>
      <c r="D2" s="95"/>
      <c r="E2" s="95"/>
      <c r="F2" s="95"/>
      <c r="G2" s="95"/>
      <c r="H2" s="95"/>
      <c r="R2" s="21" t="s">
        <v>1</v>
      </c>
    </row>
    <row r="3" spans="2:8" ht="18">
      <c r="B3" s="19"/>
      <c r="C3" s="20"/>
      <c r="D3" s="20"/>
      <c r="E3" s="20"/>
      <c r="F3" s="20"/>
      <c r="G3" s="20"/>
      <c r="H3" s="20"/>
    </row>
    <row r="4" spans="2:6" ht="15.75">
      <c r="B4" s="21" t="s">
        <v>2</v>
      </c>
      <c r="E4" s="21" t="s">
        <v>1</v>
      </c>
      <c r="F4" s="8">
        <v>30</v>
      </c>
    </row>
    <row r="5" spans="2:18" ht="15.75">
      <c r="B5" s="21" t="s">
        <v>6</v>
      </c>
      <c r="E5" s="21" t="s">
        <v>1</v>
      </c>
      <c r="F5" s="8">
        <v>2</v>
      </c>
      <c r="R5" s="21" t="s">
        <v>1</v>
      </c>
    </row>
    <row r="6" spans="2:6" ht="15.75">
      <c r="B6" s="21" t="s">
        <v>9</v>
      </c>
      <c r="F6" s="11">
        <v>600</v>
      </c>
    </row>
    <row r="7" spans="2:6" ht="15.75">
      <c r="B7" s="21" t="s">
        <v>11</v>
      </c>
      <c r="F7" s="11">
        <v>2000</v>
      </c>
    </row>
    <row r="8" spans="2:18" ht="15.75">
      <c r="B8" s="21" t="s">
        <v>13</v>
      </c>
      <c r="E8" s="21" t="s">
        <v>1</v>
      </c>
      <c r="F8" s="8">
        <v>82</v>
      </c>
      <c r="R8" s="21" t="s">
        <v>1</v>
      </c>
    </row>
    <row r="9" spans="2:6" ht="15.75">
      <c r="B9" s="21" t="s">
        <v>168</v>
      </c>
      <c r="F9" s="4">
        <f>ROUNDDOWN((F8/100)*F4,0)</f>
        <v>24</v>
      </c>
    </row>
    <row r="10" spans="2:7" ht="15.75">
      <c r="B10" s="21" t="s">
        <v>169</v>
      </c>
      <c r="F10" s="4">
        <f>F9*0.5</f>
        <v>12</v>
      </c>
      <c r="G10" s="23"/>
    </row>
    <row r="11" spans="2:7" ht="15.75">
      <c r="B11" s="21" t="s">
        <v>170</v>
      </c>
      <c r="F11" s="4">
        <f>F9*0.5</f>
        <v>12</v>
      </c>
      <c r="G11" s="23"/>
    </row>
    <row r="12" spans="2:6" ht="15.75">
      <c r="B12" s="21" t="s">
        <v>15</v>
      </c>
      <c r="F12" s="8">
        <v>250</v>
      </c>
    </row>
    <row r="13" spans="2:6" ht="15.75">
      <c r="B13" s="21" t="s">
        <v>214</v>
      </c>
      <c r="E13" s="21" t="s">
        <v>1</v>
      </c>
      <c r="F13" s="9">
        <v>0.7</v>
      </c>
    </row>
    <row r="14" spans="2:6" ht="15.75">
      <c r="B14" s="21" t="s">
        <v>18</v>
      </c>
      <c r="F14" s="9">
        <v>10</v>
      </c>
    </row>
    <row r="15" spans="2:6" ht="15.75">
      <c r="B15" s="21" t="s">
        <v>99</v>
      </c>
      <c r="F15" s="18">
        <v>20</v>
      </c>
    </row>
    <row r="16" spans="2:18" ht="15.75">
      <c r="B16" s="21" t="s">
        <v>248</v>
      </c>
      <c r="F16" s="8">
        <v>60</v>
      </c>
      <c r="H16" s="21" t="s">
        <v>1</v>
      </c>
      <c r="R16" s="21" t="s">
        <v>1</v>
      </c>
    </row>
    <row r="17" spans="2:6" ht="15.75">
      <c r="B17" s="21" t="s">
        <v>249</v>
      </c>
      <c r="F17" s="16">
        <v>300</v>
      </c>
    </row>
    <row r="18" spans="2:6" ht="15.75">
      <c r="B18" s="21" t="s">
        <v>250</v>
      </c>
      <c r="F18" s="16">
        <v>12000</v>
      </c>
    </row>
    <row r="19" spans="2:6" ht="15.75">
      <c r="B19" s="21" t="s">
        <v>251</v>
      </c>
      <c r="F19" s="8">
        <v>2</v>
      </c>
    </row>
    <row r="20" ht="15">
      <c r="B20" s="21" t="s">
        <v>0</v>
      </c>
    </row>
    <row r="21" ht="15.75">
      <c r="B21" s="4" t="s">
        <v>190</v>
      </c>
    </row>
    <row r="22" spans="4:6" ht="15.75">
      <c r="D22" s="24" t="s">
        <v>20</v>
      </c>
      <c r="E22" s="24" t="s">
        <v>33</v>
      </c>
      <c r="F22" s="25"/>
    </row>
    <row r="23" spans="4:5" ht="15">
      <c r="D23" s="93" t="s">
        <v>38</v>
      </c>
      <c r="E23" s="93"/>
    </row>
    <row r="24" spans="2:6" ht="15.75">
      <c r="B24" s="21" t="s">
        <v>41</v>
      </c>
      <c r="D24" s="9">
        <v>6</v>
      </c>
      <c r="E24" s="9">
        <v>6</v>
      </c>
      <c r="F24" s="27"/>
    </row>
    <row r="25" spans="2:6" ht="15.75">
      <c r="B25" s="21" t="s">
        <v>43</v>
      </c>
      <c r="D25" s="9">
        <v>0.5</v>
      </c>
      <c r="E25" s="9">
        <v>2</v>
      </c>
      <c r="F25" s="27"/>
    </row>
    <row r="26" spans="2:6" ht="15.75">
      <c r="B26" s="21" t="s">
        <v>45</v>
      </c>
      <c r="D26" s="9">
        <v>0.5</v>
      </c>
      <c r="E26" s="9">
        <v>0.5</v>
      </c>
      <c r="F26" s="27"/>
    </row>
    <row r="28" spans="2:18" ht="15">
      <c r="B28" s="21" t="s">
        <v>49</v>
      </c>
      <c r="R28" s="21" t="s">
        <v>1</v>
      </c>
    </row>
    <row r="29" spans="3:6" ht="15.75">
      <c r="C29" s="25" t="s">
        <v>52</v>
      </c>
      <c r="F29" s="8">
        <v>220</v>
      </c>
    </row>
    <row r="30" spans="3:6" ht="15.75">
      <c r="C30" s="25" t="s">
        <v>54</v>
      </c>
      <c r="F30" s="8">
        <v>220</v>
      </c>
    </row>
    <row r="32" ht="15">
      <c r="B32" s="21" t="s">
        <v>57</v>
      </c>
    </row>
    <row r="33" spans="3:6" ht="15.75">
      <c r="C33" s="25" t="s">
        <v>58</v>
      </c>
      <c r="F33" s="15">
        <v>50</v>
      </c>
    </row>
    <row r="34" spans="3:18" ht="15.75">
      <c r="C34" s="25" t="s">
        <v>60</v>
      </c>
      <c r="F34" s="15">
        <v>90</v>
      </c>
      <c r="R34" s="21" t="s">
        <v>1</v>
      </c>
    </row>
    <row r="35" spans="3:18" ht="15.75">
      <c r="C35" s="25" t="s">
        <v>61</v>
      </c>
      <c r="F35" s="15">
        <v>270</v>
      </c>
      <c r="I35" s="28"/>
      <c r="J35" s="28"/>
      <c r="K35" s="28"/>
      <c r="L35" s="28"/>
      <c r="M35" s="28"/>
      <c r="N35" s="28" t="s">
        <v>0</v>
      </c>
      <c r="O35" s="29" t="s">
        <v>0</v>
      </c>
      <c r="P35" s="28"/>
      <c r="Q35" s="28"/>
      <c r="R35" s="21" t="s">
        <v>1</v>
      </c>
    </row>
    <row r="37" spans="13:17" ht="15">
      <c r="M37" s="25"/>
      <c r="O37" s="25"/>
      <c r="Q37" s="30"/>
    </row>
    <row r="38" spans="2:17" ht="15.75">
      <c r="B38" s="4" t="s">
        <v>191</v>
      </c>
      <c r="M38" s="25"/>
      <c r="O38" s="25"/>
      <c r="Q38" s="30"/>
    </row>
    <row r="39" ht="15">
      <c r="C39" s="25" t="s">
        <v>228</v>
      </c>
    </row>
    <row r="40" spans="4:6" ht="15.75">
      <c r="D40" s="21" t="s">
        <v>63</v>
      </c>
      <c r="F40" s="15">
        <v>20</v>
      </c>
    </row>
    <row r="41" spans="4:18" ht="15.75">
      <c r="D41" s="21" t="s">
        <v>64</v>
      </c>
      <c r="F41" s="15">
        <v>0</v>
      </c>
      <c r="M41" s="25"/>
      <c r="O41" s="25"/>
      <c r="Q41" s="30"/>
      <c r="R41" s="21" t="s">
        <v>1</v>
      </c>
    </row>
    <row r="42" spans="3:18" ht="15">
      <c r="C42" s="25" t="s">
        <v>229</v>
      </c>
      <c r="R42" s="21" t="s">
        <v>1</v>
      </c>
    </row>
    <row r="43" spans="4:18" ht="15.75">
      <c r="D43" s="21" t="s">
        <v>65</v>
      </c>
      <c r="F43" s="15">
        <v>1</v>
      </c>
      <c r="R43" s="21" t="s">
        <v>1</v>
      </c>
    </row>
    <row r="44" spans="4:6" ht="15.75">
      <c r="D44" s="21" t="s">
        <v>64</v>
      </c>
      <c r="F44" s="15">
        <v>0</v>
      </c>
    </row>
    <row r="45" spans="3:6" ht="15.75">
      <c r="C45" s="25" t="s">
        <v>230</v>
      </c>
      <c r="F45" s="22"/>
    </row>
    <row r="46" spans="4:6" ht="15.75">
      <c r="D46" s="21" t="s">
        <v>69</v>
      </c>
      <c r="F46" s="15">
        <v>64.2</v>
      </c>
    </row>
    <row r="47" spans="4:6" ht="15.75">
      <c r="D47" s="21" t="s">
        <v>70</v>
      </c>
      <c r="F47" s="15">
        <v>21.4</v>
      </c>
    </row>
    <row r="48" spans="4:6" ht="15.75">
      <c r="D48" s="21" t="s">
        <v>71</v>
      </c>
      <c r="F48" s="15">
        <v>10</v>
      </c>
    </row>
    <row r="49" spans="3:6" ht="15.75">
      <c r="C49" s="25" t="s">
        <v>231</v>
      </c>
      <c r="F49" s="22"/>
    </row>
    <row r="50" spans="4:6" ht="15.75">
      <c r="D50" s="21" t="s">
        <v>63</v>
      </c>
      <c r="F50" s="15">
        <v>20</v>
      </c>
    </row>
    <row r="51" spans="4:6" ht="15.75">
      <c r="D51" s="21" t="s">
        <v>215</v>
      </c>
      <c r="F51" s="15">
        <v>40</v>
      </c>
    </row>
    <row r="52" spans="4:6" ht="15.75">
      <c r="D52" s="21" t="s">
        <v>72</v>
      </c>
      <c r="F52" s="15">
        <v>0</v>
      </c>
    </row>
    <row r="54" ht="15.75">
      <c r="B54" s="4" t="s">
        <v>192</v>
      </c>
    </row>
    <row r="55" spans="2:6" ht="15.75">
      <c r="B55" s="21" t="s">
        <v>232</v>
      </c>
      <c r="F55" s="15">
        <v>200</v>
      </c>
    </row>
    <row r="56" spans="2:6" ht="15.75">
      <c r="B56" s="21" t="s">
        <v>233</v>
      </c>
      <c r="F56" s="15">
        <v>200</v>
      </c>
    </row>
    <row r="57" spans="2:6" ht="15.75">
      <c r="B57" s="21" t="s">
        <v>234</v>
      </c>
      <c r="F57" s="15">
        <v>400</v>
      </c>
    </row>
    <row r="58" ht="15.75">
      <c r="F58" s="22"/>
    </row>
    <row r="59" spans="2:6" ht="15.75">
      <c r="B59" s="4" t="s">
        <v>74</v>
      </c>
      <c r="F59" s="22"/>
    </row>
    <row r="60" spans="3:8" ht="15.75">
      <c r="C60" s="21" t="s">
        <v>75</v>
      </c>
      <c r="F60" s="15">
        <v>5</v>
      </c>
      <c r="H60" s="21" t="s">
        <v>1</v>
      </c>
    </row>
    <row r="61" ht="15.75">
      <c r="F61" s="22"/>
    </row>
    <row r="62" spans="2:6" ht="15.75">
      <c r="B62" s="4" t="s">
        <v>78</v>
      </c>
      <c r="F62" s="22"/>
    </row>
    <row r="63" spans="2:6" ht="15.75">
      <c r="B63" s="21" t="s">
        <v>235</v>
      </c>
      <c r="F63" s="15">
        <v>100</v>
      </c>
    </row>
    <row r="64" spans="2:6" ht="15.75">
      <c r="B64" s="21" t="s">
        <v>236</v>
      </c>
      <c r="F64" s="15">
        <v>100</v>
      </c>
    </row>
    <row r="65" spans="2:6" ht="15.75">
      <c r="B65" s="21" t="s">
        <v>237</v>
      </c>
      <c r="F65" s="15">
        <v>200</v>
      </c>
    </row>
    <row r="67" ht="15.75">
      <c r="B67" s="4" t="s">
        <v>79</v>
      </c>
    </row>
    <row r="68" spans="2:6" ht="15.75">
      <c r="B68" s="21" t="s">
        <v>238</v>
      </c>
      <c r="F68" s="15">
        <v>200</v>
      </c>
    </row>
    <row r="70" ht="15.75">
      <c r="B70" s="4" t="s">
        <v>80</v>
      </c>
    </row>
    <row r="71" spans="2:6" ht="15.75">
      <c r="B71" s="21" t="s">
        <v>81</v>
      </c>
      <c r="F71" s="9">
        <v>4</v>
      </c>
    </row>
    <row r="72" spans="2:6" ht="15.75">
      <c r="B72" s="21" t="s">
        <v>83</v>
      </c>
      <c r="F72" s="9">
        <v>6.5</v>
      </c>
    </row>
    <row r="73" ht="15">
      <c r="G73" s="21" t="s">
        <v>1</v>
      </c>
    </row>
    <row r="74" spans="2:7" ht="15.75">
      <c r="B74" s="4" t="s">
        <v>84</v>
      </c>
      <c r="D74" s="21" t="s">
        <v>1</v>
      </c>
      <c r="E74" s="21" t="s">
        <v>1</v>
      </c>
      <c r="F74" s="25" t="s">
        <v>1</v>
      </c>
      <c r="G74" s="21" t="s">
        <v>1</v>
      </c>
    </row>
    <row r="75" spans="2:6" ht="15">
      <c r="B75" s="21" t="s">
        <v>85</v>
      </c>
      <c r="F75" s="25" t="s">
        <v>1</v>
      </c>
    </row>
    <row r="76" spans="2:6" ht="15.75">
      <c r="B76" s="21" t="s">
        <v>86</v>
      </c>
      <c r="E76" s="21" t="s">
        <v>1</v>
      </c>
      <c r="F76" s="15">
        <v>0</v>
      </c>
    </row>
    <row r="77" spans="2:6" ht="15.75">
      <c r="B77" s="21" t="s">
        <v>87</v>
      </c>
      <c r="F77" s="15">
        <v>0.26</v>
      </c>
    </row>
    <row r="78" spans="2:6" ht="15.75">
      <c r="B78" s="21" t="s">
        <v>88</v>
      </c>
      <c r="F78" s="15">
        <v>30</v>
      </c>
    </row>
    <row r="80" ht="15.75">
      <c r="B80" s="4" t="s">
        <v>256</v>
      </c>
    </row>
    <row r="81" spans="2:6" ht="15">
      <c r="B81" s="21" t="s">
        <v>89</v>
      </c>
      <c r="E81" s="31"/>
      <c r="F81" s="25"/>
    </row>
    <row r="82" spans="3:8" ht="15.75">
      <c r="C82" s="21" t="s">
        <v>90</v>
      </c>
      <c r="D82" s="25"/>
      <c r="E82" s="25"/>
      <c r="F82" s="15">
        <v>25</v>
      </c>
      <c r="H82" s="21" t="s">
        <v>1</v>
      </c>
    </row>
    <row r="83" spans="3:6" ht="15.75">
      <c r="C83" s="21" t="s">
        <v>91</v>
      </c>
      <c r="D83" s="25"/>
      <c r="E83" s="25"/>
      <c r="F83" s="15">
        <v>100</v>
      </c>
    </row>
    <row r="84" spans="4:7" ht="15">
      <c r="D84" s="25"/>
      <c r="E84" s="25"/>
      <c r="F84" s="25"/>
      <c r="G84" s="21" t="s">
        <v>1</v>
      </c>
    </row>
    <row r="86" ht="15.75">
      <c r="B86" s="4" t="s">
        <v>193</v>
      </c>
    </row>
    <row r="87" spans="2:7" ht="15.75">
      <c r="B87" s="21" t="s">
        <v>93</v>
      </c>
      <c r="F87" s="11">
        <v>500</v>
      </c>
      <c r="G87" s="21" t="s">
        <v>212</v>
      </c>
    </row>
    <row r="88" spans="2:7" ht="15.75">
      <c r="B88" s="21" t="s">
        <v>94</v>
      </c>
      <c r="F88" s="11">
        <v>700</v>
      </c>
      <c r="G88" s="21" t="s">
        <v>211</v>
      </c>
    </row>
    <row r="89" spans="2:8" ht="15.75">
      <c r="B89" s="21" t="s">
        <v>95</v>
      </c>
      <c r="F89" s="11">
        <v>550</v>
      </c>
      <c r="H89" s="21" t="s">
        <v>1</v>
      </c>
    </row>
    <row r="90" spans="2:6" ht="15.75">
      <c r="B90" s="21" t="s">
        <v>96</v>
      </c>
      <c r="F90" s="11">
        <v>2000</v>
      </c>
    </row>
    <row r="91" spans="2:7" ht="15.75">
      <c r="B91" s="21" t="s">
        <v>252</v>
      </c>
      <c r="F91" s="11">
        <v>1200</v>
      </c>
      <c r="G91" s="21" t="s">
        <v>213</v>
      </c>
    </row>
    <row r="94" ht="15.75">
      <c r="B94" s="4" t="s">
        <v>194</v>
      </c>
    </row>
    <row r="95" spans="6:7" ht="15.75">
      <c r="F95" s="32" t="s">
        <v>243</v>
      </c>
      <c r="G95" s="33" t="s">
        <v>244</v>
      </c>
    </row>
    <row r="96" spans="5:7" ht="15.75">
      <c r="E96" s="33" t="s">
        <v>241</v>
      </c>
      <c r="F96" s="32" t="s">
        <v>242</v>
      </c>
      <c r="G96" s="33" t="s">
        <v>245</v>
      </c>
    </row>
    <row r="97" spans="5:7" ht="15.75">
      <c r="E97" s="34" t="s">
        <v>242</v>
      </c>
      <c r="F97" s="35" t="s">
        <v>101</v>
      </c>
      <c r="G97" s="34" t="s">
        <v>246</v>
      </c>
    </row>
    <row r="98" spans="2:7" ht="15.75">
      <c r="B98" s="4" t="s">
        <v>102</v>
      </c>
      <c r="F98" s="21" t="s">
        <v>1</v>
      </c>
      <c r="G98" s="21" t="s">
        <v>1</v>
      </c>
    </row>
    <row r="99" spans="2:7" ht="15.75">
      <c r="B99" s="21" t="s">
        <v>103</v>
      </c>
      <c r="E99" s="16">
        <v>14000</v>
      </c>
      <c r="F99" s="21">
        <v>10</v>
      </c>
      <c r="G99" s="21">
        <v>20</v>
      </c>
    </row>
    <row r="100" spans="2:7" ht="15.75">
      <c r="B100" s="21" t="s">
        <v>247</v>
      </c>
      <c r="E100" s="16">
        <v>2000</v>
      </c>
      <c r="F100" s="21">
        <v>10</v>
      </c>
      <c r="G100" s="21">
        <v>20</v>
      </c>
    </row>
    <row r="101" spans="2:7" ht="15.75">
      <c r="B101" s="21" t="s">
        <v>105</v>
      </c>
      <c r="E101" s="16">
        <v>0</v>
      </c>
      <c r="F101" s="21">
        <v>10</v>
      </c>
      <c r="G101" s="21">
        <v>20</v>
      </c>
    </row>
    <row r="102" spans="2:7" ht="15.75">
      <c r="B102" s="21" t="s">
        <v>106</v>
      </c>
      <c r="E102" s="16">
        <v>3500</v>
      </c>
      <c r="F102" s="21">
        <v>10</v>
      </c>
      <c r="G102" s="21">
        <v>20</v>
      </c>
    </row>
    <row r="103" spans="2:7" ht="15.75">
      <c r="B103" s="21" t="s">
        <v>107</v>
      </c>
      <c r="E103" s="17">
        <v>400</v>
      </c>
      <c r="F103" s="36">
        <v>10</v>
      </c>
      <c r="G103" s="36">
        <v>20</v>
      </c>
    </row>
    <row r="104" spans="2:7" ht="15.75">
      <c r="B104" s="21" t="s">
        <v>240</v>
      </c>
      <c r="E104" s="37">
        <f>SUM(E99:E103)</f>
        <v>19900</v>
      </c>
      <c r="F104" s="8">
        <v>10</v>
      </c>
      <c r="G104" s="8">
        <v>20</v>
      </c>
    </row>
    <row r="106" ht="15.75">
      <c r="B106" s="4" t="s">
        <v>108</v>
      </c>
    </row>
    <row r="107" spans="2:8" ht="15.75">
      <c r="B107" s="21" t="s">
        <v>109</v>
      </c>
      <c r="E107" s="16">
        <v>2000</v>
      </c>
      <c r="F107" s="8">
        <v>30</v>
      </c>
      <c r="G107" s="8">
        <v>10</v>
      </c>
      <c r="H107" s="21" t="s">
        <v>1</v>
      </c>
    </row>
    <row r="108" spans="2:7" ht="15.75">
      <c r="B108" s="21" t="s">
        <v>218</v>
      </c>
      <c r="E108" s="16">
        <v>4000</v>
      </c>
      <c r="F108" s="10"/>
      <c r="G108" s="10"/>
    </row>
    <row r="109" spans="2:7" ht="15.75">
      <c r="B109" s="21" t="s">
        <v>110</v>
      </c>
      <c r="E109" s="17">
        <v>400</v>
      </c>
      <c r="F109" s="8">
        <v>20</v>
      </c>
      <c r="G109" s="8">
        <v>12</v>
      </c>
    </row>
    <row r="110" spans="2:7" ht="15.75">
      <c r="B110" s="21" t="s">
        <v>202</v>
      </c>
      <c r="E110" s="37">
        <f>SUM(E107:E109)</f>
        <v>6400</v>
      </c>
      <c r="F110" s="21" t="s">
        <v>1</v>
      </c>
      <c r="G110" s="21" t="s">
        <v>1</v>
      </c>
    </row>
    <row r="112" ht="15.75">
      <c r="B112" s="4" t="s">
        <v>111</v>
      </c>
    </row>
    <row r="113" spans="2:7" ht="15.75">
      <c r="B113" s="21" t="str">
        <f>"        Fence ("&amp;F19&amp;" miles @ $"&amp;F18&amp;"/mile)"</f>
        <v>        Fence (2 miles @ $12000/mile)</v>
      </c>
      <c r="E113" s="16">
        <v>24000</v>
      </c>
      <c r="F113" s="8">
        <v>10</v>
      </c>
      <c r="G113" s="8">
        <v>20</v>
      </c>
    </row>
    <row r="114" spans="2:5" ht="15.75">
      <c r="B114" s="21" t="str">
        <f>"        Pasture ("&amp;F16&amp;" ac @ $"&amp;F17&amp;")"</f>
        <v>        Pasture (60 ac @ $300)</v>
      </c>
      <c r="E114" s="17">
        <v>18000</v>
      </c>
    </row>
    <row r="115" spans="2:5" ht="15.75">
      <c r="B115" s="21" t="s">
        <v>203</v>
      </c>
      <c r="E115" s="38">
        <f>SUM(E113:E114)</f>
        <v>42000</v>
      </c>
    </row>
    <row r="117" ht="15.75">
      <c r="B117" s="4" t="s">
        <v>113</v>
      </c>
    </row>
    <row r="118" spans="2:5" ht="15.75">
      <c r="B118" s="21" t="str">
        <f>"        Cows ("&amp;F4&amp;" @ $"&amp;F6&amp;")"</f>
        <v>        Cows (30 @ $600)</v>
      </c>
      <c r="E118" s="16">
        <f>$F$4*$F$6</f>
        <v>18000</v>
      </c>
    </row>
    <row r="119" spans="2:5" ht="15.75">
      <c r="B119" s="21" t="str">
        <f>"        Herd Bulls ("&amp;F5&amp;" @ $"&amp;F7&amp;")"</f>
        <v>        Herd Bulls (2 @ $2000)</v>
      </c>
      <c r="E119" s="17">
        <f>$F$5*$F$7</f>
        <v>4000</v>
      </c>
    </row>
    <row r="120" spans="2:5" ht="15.75">
      <c r="B120" s="21" t="s">
        <v>204</v>
      </c>
      <c r="E120" s="38">
        <f>SUM(E118:E119)</f>
        <v>22000</v>
      </c>
    </row>
    <row r="122" spans="2:5" ht="15.75">
      <c r="B122" s="4" t="s">
        <v>118</v>
      </c>
      <c r="E122" s="38">
        <f>+E104+E110+E115+E120</f>
        <v>90300</v>
      </c>
    </row>
    <row r="123" spans="2:8" ht="15">
      <c r="B123" s="21" t="s">
        <v>0</v>
      </c>
      <c r="H123" s="21" t="s">
        <v>1</v>
      </c>
    </row>
    <row r="124" ht="15.75">
      <c r="B124" s="4" t="s">
        <v>195</v>
      </c>
    </row>
    <row r="125" spans="3:7" ht="15.75">
      <c r="C125" s="21" t="s">
        <v>121</v>
      </c>
      <c r="G125" s="8">
        <v>15</v>
      </c>
    </row>
    <row r="126" spans="3:7" ht="15.75">
      <c r="C126" s="21" t="s">
        <v>122</v>
      </c>
      <c r="G126" s="15">
        <v>10</v>
      </c>
    </row>
    <row r="130" ht="18">
      <c r="D130" s="41"/>
    </row>
    <row r="131" ht="15.75">
      <c r="F131" s="42"/>
    </row>
    <row r="132" ht="15.75">
      <c r="B132" s="43"/>
    </row>
    <row r="133" spans="5:8" ht="15">
      <c r="E133" s="30"/>
      <c r="H133" s="21" t="s">
        <v>1</v>
      </c>
    </row>
    <row r="134" ht="15">
      <c r="E134" s="30"/>
    </row>
    <row r="135" ht="15">
      <c r="E135" s="30"/>
    </row>
    <row r="136" ht="15">
      <c r="E136" s="30"/>
    </row>
    <row r="137" ht="15">
      <c r="E137" s="30"/>
    </row>
    <row r="138" spans="2:5" ht="15.75">
      <c r="B138" s="43"/>
      <c r="C138" s="43"/>
      <c r="D138" s="43"/>
      <c r="E138" s="44"/>
    </row>
    <row r="139" ht="15">
      <c r="E139" s="30"/>
    </row>
    <row r="140" spans="2:5" ht="15.75">
      <c r="B140" s="43"/>
      <c r="E140" s="30"/>
    </row>
    <row r="141" ht="15">
      <c r="E141" s="30"/>
    </row>
    <row r="142" ht="15">
      <c r="E142" s="30"/>
    </row>
    <row r="143" spans="2:5" ht="15.75">
      <c r="B143" s="43"/>
      <c r="E143" s="44"/>
    </row>
    <row r="144" ht="15">
      <c r="E144" s="30"/>
    </row>
    <row r="145" spans="2:5" ht="15.75">
      <c r="B145" s="43"/>
      <c r="E145" s="30"/>
    </row>
    <row r="146" ht="15">
      <c r="E146" s="30"/>
    </row>
    <row r="147" ht="15">
      <c r="E147" s="30"/>
    </row>
    <row r="148" spans="2:5" ht="15.75">
      <c r="B148" s="43"/>
      <c r="C148" s="43"/>
      <c r="D148" s="43"/>
      <c r="E148" s="44"/>
    </row>
    <row r="149" ht="15">
      <c r="E149" s="30"/>
    </row>
    <row r="150" spans="2:5" ht="15.75">
      <c r="B150" s="43"/>
      <c r="E150" s="30"/>
    </row>
    <row r="151" ht="15">
      <c r="E151" s="30"/>
    </row>
    <row r="152" ht="15">
      <c r="E152" s="30"/>
    </row>
    <row r="153" spans="2:5" ht="15.75">
      <c r="B153" s="43"/>
      <c r="C153" s="43"/>
      <c r="D153" s="43"/>
      <c r="E153" s="44"/>
    </row>
    <row r="154" ht="15">
      <c r="E154" s="30"/>
    </row>
    <row r="155" spans="2:5" ht="15.75">
      <c r="B155" s="43"/>
      <c r="C155" s="43"/>
      <c r="D155" s="43"/>
      <c r="E155" s="44"/>
    </row>
  </sheetData>
  <sheetProtection password="C7C6" sheet="1" objects="1" scenarios="1"/>
  <mergeCells count="2">
    <mergeCell ref="D23:E23"/>
    <mergeCell ref="B2:H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dimension ref="B1:L45"/>
  <sheetViews>
    <sheetView showGridLines="0" workbookViewId="0" topLeftCell="A1">
      <selection activeCell="A1" sqref="A1"/>
    </sheetView>
  </sheetViews>
  <sheetFormatPr defaultColWidth="8.88671875" defaultRowHeight="15"/>
  <cols>
    <col min="1" max="1" width="5.88671875" style="21" customWidth="1"/>
    <col min="2" max="4" width="8.88671875" style="21" customWidth="1"/>
    <col min="5" max="5" width="4.5546875" style="21" customWidth="1"/>
    <col min="6" max="6" width="3.21484375" style="21" customWidth="1"/>
    <col min="7" max="7" width="10.5546875" style="21" customWidth="1"/>
    <col min="8" max="8" width="2.77734375" style="21" customWidth="1"/>
    <col min="9" max="9" width="8.88671875" style="21" customWidth="1"/>
    <col min="10" max="10" width="2.77734375" style="21" customWidth="1"/>
    <col min="11" max="11" width="9.99609375" style="21" customWidth="1"/>
    <col min="12" max="16384" width="8.88671875" style="21" customWidth="1"/>
  </cols>
  <sheetData>
    <row r="1" spans="2:11" ht="18">
      <c r="B1" s="67" t="str">
        <f>"ELK COW-CALF COST SUMMARY - "&amp;Introduction!H7</f>
        <v>ELK COW-CALF COST SUMMARY - September, 2003</v>
      </c>
      <c r="C1" s="95"/>
      <c r="D1" s="95"/>
      <c r="E1" s="95"/>
      <c r="F1" s="95"/>
      <c r="G1" s="95"/>
      <c r="H1" s="95"/>
      <c r="I1" s="95"/>
      <c r="J1" s="95"/>
      <c r="K1" s="95"/>
    </row>
    <row r="2" spans="2:11" ht="15">
      <c r="B2" s="39" t="str">
        <f>"( Based on a "&amp;Input!F4&amp;" head cow herd)"</f>
        <v>( Based on a 30 head cow herd)</v>
      </c>
      <c r="C2" s="39"/>
      <c r="D2" s="39"/>
      <c r="E2" s="39"/>
      <c r="F2" s="39"/>
      <c r="G2" s="39"/>
      <c r="H2" s="39"/>
      <c r="I2" s="39"/>
      <c r="J2" s="39"/>
      <c r="K2" s="39"/>
    </row>
    <row r="3" ht="15">
      <c r="B3" s="21" t="s">
        <v>0</v>
      </c>
    </row>
    <row r="4" spans="2:11" ht="15.75">
      <c r="B4" s="28" t="s">
        <v>3</v>
      </c>
      <c r="G4" s="46" t="s">
        <v>4</v>
      </c>
      <c r="H4" s="21" t="s">
        <v>1</v>
      </c>
      <c r="I4" s="47" t="s">
        <v>5</v>
      </c>
      <c r="K4" s="34" t="s">
        <v>148</v>
      </c>
    </row>
    <row r="5" spans="2:9" ht="15">
      <c r="B5" s="21" t="s">
        <v>7</v>
      </c>
      <c r="G5" s="25" t="s">
        <v>0</v>
      </c>
      <c r="H5" s="21" t="s">
        <v>0</v>
      </c>
      <c r="I5" s="30" t="s">
        <v>0</v>
      </c>
    </row>
    <row r="6" spans="2:11" ht="15">
      <c r="B6" s="21" t="s">
        <v>8</v>
      </c>
      <c r="G6" s="48">
        <f>Details!E37</f>
        <v>70.4</v>
      </c>
      <c r="I6" s="49">
        <f>G6*Input!$F$4</f>
        <v>2112</v>
      </c>
      <c r="K6" s="50"/>
    </row>
    <row r="7" spans="2:11" ht="15">
      <c r="B7" s="21" t="s">
        <v>10</v>
      </c>
      <c r="G7" s="48">
        <f>Details!E54</f>
        <v>12.540000000000001</v>
      </c>
      <c r="I7" s="49">
        <f>G7*Input!$F$4</f>
        <v>376.20000000000005</v>
      </c>
      <c r="K7" s="50"/>
    </row>
    <row r="8" spans="2:11" ht="15">
      <c r="B8" s="21" t="s">
        <v>12</v>
      </c>
      <c r="G8" s="51">
        <f>Details!E71</f>
        <v>31.68</v>
      </c>
      <c r="H8" s="31"/>
      <c r="I8" s="52">
        <f>G8*Input!$F$4</f>
        <v>950.4</v>
      </c>
      <c r="K8" s="50"/>
    </row>
    <row r="9" spans="2:11" ht="15">
      <c r="B9" s="21" t="s">
        <v>14</v>
      </c>
      <c r="G9" s="25">
        <f>SUM(G6:G8)</f>
        <v>114.62</v>
      </c>
      <c r="I9" s="30">
        <f>G9*Input!$F$4</f>
        <v>3438.6000000000004</v>
      </c>
      <c r="K9" s="50"/>
    </row>
    <row r="10" ht="15">
      <c r="B10" s="21" t="s">
        <v>16</v>
      </c>
    </row>
    <row r="11" spans="2:11" ht="15">
      <c r="B11" s="21" t="s">
        <v>216</v>
      </c>
      <c r="G11" s="48">
        <f>Details!E96</f>
        <v>98.63333333333333</v>
      </c>
      <c r="I11" s="49">
        <f>G11*Input!$F$4</f>
        <v>2959</v>
      </c>
      <c r="K11" s="50"/>
    </row>
    <row r="12" spans="2:11" ht="15">
      <c r="B12" s="21" t="s">
        <v>19</v>
      </c>
      <c r="G12" s="48">
        <f>Details!E109</f>
        <v>26.66</v>
      </c>
      <c r="I12" s="49">
        <f>G12*Input!$F$4</f>
        <v>799.8</v>
      </c>
      <c r="K12" s="50"/>
    </row>
    <row r="13" spans="2:11" ht="15">
      <c r="B13" s="21" t="s">
        <v>22</v>
      </c>
      <c r="G13" s="48">
        <f>Details!E114</f>
        <v>13.333333333333334</v>
      </c>
      <c r="I13" s="49">
        <f>G13*Input!$F$4</f>
        <v>400</v>
      </c>
      <c r="K13" s="50"/>
    </row>
    <row r="14" spans="2:11" ht="15">
      <c r="B14" s="21" t="s">
        <v>25</v>
      </c>
      <c r="G14" s="48">
        <f>Details!E119</f>
        <v>4.2</v>
      </c>
      <c r="I14" s="49">
        <f>G14*Input!$F$4</f>
        <v>126</v>
      </c>
      <c r="K14" s="50"/>
    </row>
    <row r="15" spans="2:11" ht="15">
      <c r="B15" s="21" t="s">
        <v>27</v>
      </c>
      <c r="G15" s="48">
        <f>Details!E138</f>
        <v>3.28</v>
      </c>
      <c r="I15" s="49">
        <f>G15*Input!$F$4</f>
        <v>98.39999999999999</v>
      </c>
      <c r="K15" s="50"/>
    </row>
    <row r="16" spans="2:11" ht="15">
      <c r="B16" s="21" t="s">
        <v>29</v>
      </c>
      <c r="G16" s="48">
        <f>Details!E155</f>
        <v>15.666666666666666</v>
      </c>
      <c r="I16" s="49">
        <f>G16*Input!$F$4</f>
        <v>470</v>
      </c>
      <c r="K16" s="50"/>
    </row>
    <row r="17" spans="2:11" ht="15">
      <c r="B17" s="21" t="s">
        <v>31</v>
      </c>
      <c r="G17" s="48">
        <f>Details!E160</f>
        <v>10</v>
      </c>
      <c r="I17" s="49">
        <f>G17*Input!$F$4</f>
        <v>300</v>
      </c>
      <c r="K17" s="50"/>
    </row>
    <row r="18" spans="2:11" ht="15">
      <c r="B18" s="21" t="s">
        <v>32</v>
      </c>
      <c r="G18" s="51">
        <f>Details!E166</f>
        <v>4.17</v>
      </c>
      <c r="H18" s="31"/>
      <c r="I18" s="52">
        <f>G18*Input!$F$4</f>
        <v>125.1</v>
      </c>
      <c r="K18" s="50"/>
    </row>
    <row r="19" spans="2:11" ht="15">
      <c r="B19" s="21" t="s">
        <v>34</v>
      </c>
      <c r="G19" s="25">
        <f>SUM(G9:G18)</f>
        <v>290.56333333333333</v>
      </c>
      <c r="I19" s="30">
        <f>G19*Input!$F$4</f>
        <v>8716.9</v>
      </c>
      <c r="K19" s="50"/>
    </row>
    <row r="20" spans="2:11" ht="15">
      <c r="B20" s="21" t="s">
        <v>35</v>
      </c>
      <c r="G20" s="51">
        <f>Details!E172</f>
        <v>9.44</v>
      </c>
      <c r="H20" s="31"/>
      <c r="I20" s="52">
        <f>G20*Input!$F$4</f>
        <v>283.2</v>
      </c>
      <c r="K20" s="50"/>
    </row>
    <row r="21" spans="2:11" ht="15.75">
      <c r="B21" s="28" t="s">
        <v>36</v>
      </c>
      <c r="C21" s="28"/>
      <c r="D21" s="28"/>
      <c r="E21" s="28"/>
      <c r="F21" s="28"/>
      <c r="G21" s="29">
        <f>G19+G20</f>
        <v>300.00333333333333</v>
      </c>
      <c r="H21" s="28"/>
      <c r="I21" s="44">
        <f>G21*Input!$F$4</f>
        <v>9000.1</v>
      </c>
      <c r="K21" s="50"/>
    </row>
    <row r="22" ht="15.75">
      <c r="B22" s="28" t="s">
        <v>37</v>
      </c>
    </row>
    <row r="23" ht="15">
      <c r="B23" s="21" t="s">
        <v>39</v>
      </c>
    </row>
    <row r="24" spans="2:11" ht="15">
      <c r="B24" s="21" t="s">
        <v>40</v>
      </c>
      <c r="G24" s="48">
        <f>Details!E211</f>
        <v>29.85</v>
      </c>
      <c r="I24" s="49">
        <f>G24*Input!$F$4</f>
        <v>895.5</v>
      </c>
      <c r="K24" s="50"/>
    </row>
    <row r="25" spans="2:11" ht="15">
      <c r="B25" s="21" t="s">
        <v>42</v>
      </c>
      <c r="G25" s="48">
        <f>Details!E227</f>
        <v>14.89</v>
      </c>
      <c r="I25" s="49">
        <f>G25*Input!$F$4</f>
        <v>446.70000000000005</v>
      </c>
      <c r="K25" s="50"/>
    </row>
    <row r="26" spans="2:11" ht="15">
      <c r="B26" s="21" t="s">
        <v>44</v>
      </c>
      <c r="G26" s="25">
        <f>Details!E234</f>
        <v>36</v>
      </c>
      <c r="I26" s="49">
        <f>G26*Input!$F$4</f>
        <v>1080</v>
      </c>
      <c r="K26" s="50"/>
    </row>
    <row r="27" spans="2:9" ht="15">
      <c r="B27" s="21" t="s">
        <v>46</v>
      </c>
      <c r="G27" s="53" t="s">
        <v>1</v>
      </c>
      <c r="I27" s="21" t="s">
        <v>1</v>
      </c>
    </row>
    <row r="28" spans="2:11" ht="15">
      <c r="B28" s="21" t="s">
        <v>47</v>
      </c>
      <c r="G28" s="48">
        <f>Details!E246</f>
        <v>14.59</v>
      </c>
      <c r="I28" s="49">
        <f>G28*Input!$F$4</f>
        <v>437.7</v>
      </c>
      <c r="K28" s="50"/>
    </row>
    <row r="29" spans="2:11" ht="15">
      <c r="B29" s="21" t="s">
        <v>50</v>
      </c>
      <c r="G29" s="48">
        <f>Details!E263</f>
        <v>5.5200000000000005</v>
      </c>
      <c r="I29" s="49">
        <f>G29*Input!$F$4</f>
        <v>165.60000000000002</v>
      </c>
      <c r="K29" s="50"/>
    </row>
    <row r="30" spans="2:11" ht="15">
      <c r="B30" s="21" t="s">
        <v>53</v>
      </c>
      <c r="G30" s="48">
        <f>Details!E277</f>
        <v>29.33</v>
      </c>
      <c r="I30" s="49">
        <f>G30*Input!$F$4</f>
        <v>879.9</v>
      </c>
      <c r="K30" s="50"/>
    </row>
    <row r="31" spans="2:11" ht="15">
      <c r="B31" s="21" t="s">
        <v>55</v>
      </c>
      <c r="G31" s="54">
        <f>Details!E292</f>
        <v>41.6</v>
      </c>
      <c r="I31" s="55">
        <f>G31*Input!$F$4</f>
        <v>1248</v>
      </c>
      <c r="K31" s="50"/>
    </row>
    <row r="32" spans="2:11" ht="15.75">
      <c r="B32" s="28" t="s">
        <v>56</v>
      </c>
      <c r="C32" s="28"/>
      <c r="D32" s="28"/>
      <c r="E32" s="28"/>
      <c r="F32" s="28"/>
      <c r="G32" s="29">
        <f>SUM(G24:G31)</f>
        <v>171.78</v>
      </c>
      <c r="H32" s="28"/>
      <c r="I32" s="44">
        <f>G32*Input!$F$4</f>
        <v>5153.4</v>
      </c>
      <c r="K32" s="56"/>
    </row>
    <row r="33" spans="2:11" ht="15.75">
      <c r="B33" s="28"/>
      <c r="C33" s="28"/>
      <c r="D33" s="28"/>
      <c r="E33" s="28"/>
      <c r="F33" s="28"/>
      <c r="G33" s="29"/>
      <c r="H33" s="28"/>
      <c r="I33" s="44"/>
      <c r="K33" s="57"/>
    </row>
    <row r="34" spans="2:11" ht="15.75">
      <c r="B34" s="28" t="s">
        <v>59</v>
      </c>
      <c r="C34" s="28"/>
      <c r="D34" s="28"/>
      <c r="E34" s="28"/>
      <c r="F34" s="28"/>
      <c r="G34" s="29">
        <f>Details!E297</f>
        <v>150</v>
      </c>
      <c r="H34" s="28"/>
      <c r="I34" s="44">
        <f>G34*Input!$F$4</f>
        <v>4500</v>
      </c>
      <c r="K34" s="50"/>
    </row>
    <row r="35" spans="2:11" ht="15.75">
      <c r="B35" s="28"/>
      <c r="C35" s="28"/>
      <c r="D35" s="28"/>
      <c r="E35" s="28"/>
      <c r="F35" s="28"/>
      <c r="G35" s="29"/>
      <c r="H35" s="28"/>
      <c r="I35" s="44"/>
      <c r="K35" s="57"/>
    </row>
    <row r="36" spans="2:11" ht="15.75">
      <c r="B36" s="28" t="s">
        <v>62</v>
      </c>
      <c r="C36" s="28"/>
      <c r="D36" s="28"/>
      <c r="E36" s="28"/>
      <c r="F36" s="28"/>
      <c r="G36" s="29">
        <f>G21+G32+G34</f>
        <v>621.7833333333333</v>
      </c>
      <c r="H36" s="28"/>
      <c r="I36" s="44">
        <f>G36*Input!$F$4</f>
        <v>18653.5</v>
      </c>
      <c r="K36" s="50"/>
    </row>
    <row r="38" ht="15.75">
      <c r="B38" s="4" t="s">
        <v>224</v>
      </c>
    </row>
    <row r="39" spans="2:9" ht="15.75">
      <c r="B39" s="5" t="s">
        <v>221</v>
      </c>
      <c r="G39" s="29">
        <f>(G21/(Input!$F$8/100))</f>
        <v>365.8577235772358</v>
      </c>
      <c r="I39" s="50"/>
    </row>
    <row r="40" spans="2:9" ht="15.75">
      <c r="B40" s="5" t="s">
        <v>222</v>
      </c>
      <c r="G40" s="29">
        <f>((G21+G32)/(Input!$F$8/100))</f>
        <v>575.3455284552846</v>
      </c>
      <c r="I40" s="56"/>
    </row>
    <row r="41" spans="2:9" ht="15.75">
      <c r="B41" s="5" t="s">
        <v>223</v>
      </c>
      <c r="G41" s="29">
        <f>(G36/(Input!$F$8/100))</f>
        <v>758.2723577235772</v>
      </c>
      <c r="I41" s="56"/>
    </row>
    <row r="42" spans="3:7" ht="15">
      <c r="C42" s="58" t="str">
        <f>"*Cost ÷ "&amp;Input!F8&amp;"% calving percentage "</f>
        <v>*Cost ÷ 82% calving percentage </v>
      </c>
      <c r="D42" s="58"/>
      <c r="E42" s="58"/>
      <c r="F42" s="58"/>
      <c r="G42" s="59"/>
    </row>
    <row r="43" spans="2:11" ht="15">
      <c r="B43" s="96" t="s">
        <v>260</v>
      </c>
      <c r="C43" s="66"/>
      <c r="D43" s="66"/>
      <c r="E43" s="66"/>
      <c r="F43" s="66"/>
      <c r="G43" s="66"/>
      <c r="H43" s="66"/>
      <c r="I43" s="66"/>
      <c r="J43" s="66"/>
      <c r="K43" s="66"/>
    </row>
    <row r="44" spans="2:12" ht="15">
      <c r="B44" s="66"/>
      <c r="C44" s="66"/>
      <c r="D44" s="66"/>
      <c r="E44" s="66"/>
      <c r="F44" s="66"/>
      <c r="G44" s="66"/>
      <c r="H44" s="66"/>
      <c r="I44" s="66"/>
      <c r="J44" s="66"/>
      <c r="K44" s="66"/>
      <c r="L44" s="60"/>
    </row>
    <row r="45" spans="2:12" ht="15">
      <c r="B45" s="61"/>
      <c r="C45" s="61"/>
      <c r="D45" s="61"/>
      <c r="E45" s="61"/>
      <c r="F45" s="61"/>
      <c r="G45" s="61"/>
      <c r="H45" s="61"/>
      <c r="I45" s="61"/>
      <c r="J45" s="61"/>
      <c r="K45" s="61"/>
      <c r="L45" s="60"/>
    </row>
  </sheetData>
  <sheetProtection password="C7C6" sheet="1" objects="1" scenarios="1"/>
  <mergeCells count="3">
    <mergeCell ref="B43:K44"/>
    <mergeCell ref="B1:K1"/>
    <mergeCell ref="B2:K2"/>
  </mergeCells>
  <printOptions/>
  <pageMargins left="0.75" right="0.75" top="1" bottom="1" header="0.5" footer="0.5"/>
  <pageSetup firstPageNumber="2" useFirstPageNumber="1" horizontalDpi="300" verticalDpi="300" orientation="portrait" scale="92" r:id="rId1"/>
  <headerFooter alignWithMargins="0">
    <oddHeader>&amp;LElk Cow Calf Costs</oddHeader>
    <oddFooter>&amp;C&amp;P&amp;R&amp;10Manitoba Agriculture and Food
&amp;"Arial,Italic"Farm Management</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codeName="Sheet4"/>
  <dimension ref="B1:J306"/>
  <sheetViews>
    <sheetView showGridLines="0" workbookViewId="0" topLeftCell="A1">
      <selection activeCell="A1" sqref="A1"/>
    </sheetView>
  </sheetViews>
  <sheetFormatPr defaultColWidth="8.88671875" defaultRowHeight="15"/>
  <cols>
    <col min="1" max="1" width="4.21484375" style="21" customWidth="1"/>
    <col min="2" max="3" width="8.88671875" style="21" customWidth="1"/>
    <col min="4" max="4" width="2.77734375" style="21" customWidth="1"/>
    <col min="5" max="5" width="8.88671875" style="21" customWidth="1"/>
    <col min="6" max="6" width="2.77734375" style="21" customWidth="1"/>
    <col min="7" max="9" width="8.88671875" style="21" customWidth="1"/>
    <col min="10" max="10" width="10.88671875" style="21" customWidth="1"/>
    <col min="11" max="16384" width="8.88671875" style="21" customWidth="1"/>
  </cols>
  <sheetData>
    <row r="1" spans="2:9" ht="15">
      <c r="B1" s="21" t="s">
        <v>0</v>
      </c>
      <c r="I1" s="21" t="s">
        <v>1</v>
      </c>
    </row>
    <row r="2" spans="2:10" ht="15.75">
      <c r="B2" s="99" t="str">
        <f>"ELK COW-CALF PRODUCTION COST WORKSHEET - "&amp;Introduction!H7</f>
        <v>ELK COW-CALF PRODUCTION COST WORKSHEET - September, 2003</v>
      </c>
      <c r="C2" s="99"/>
      <c r="D2" s="99"/>
      <c r="E2" s="99"/>
      <c r="F2" s="99"/>
      <c r="G2" s="99"/>
      <c r="H2" s="99"/>
      <c r="I2" s="99"/>
      <c r="J2" s="99"/>
    </row>
    <row r="3" spans="2:10" ht="18">
      <c r="B3" s="19"/>
      <c r="C3" s="19"/>
      <c r="D3" s="19"/>
      <c r="E3" s="19"/>
      <c r="F3" s="19"/>
      <c r="G3" s="19"/>
      <c r="H3" s="19"/>
      <c r="I3" s="19"/>
      <c r="J3" s="19"/>
    </row>
    <row r="4" spans="2:10" ht="15.75">
      <c r="B4" s="99" t="s">
        <v>149</v>
      </c>
      <c r="C4" s="99"/>
      <c r="D4" s="99"/>
      <c r="E4" s="99"/>
      <c r="F4" s="99"/>
      <c r="G4" s="99"/>
      <c r="H4" s="99"/>
      <c r="I4" s="99"/>
      <c r="J4" s="99"/>
    </row>
    <row r="5" spans="2:10" ht="18">
      <c r="B5" s="19"/>
      <c r="C5" s="19"/>
      <c r="D5" s="19"/>
      <c r="E5" s="19"/>
      <c r="F5" s="19"/>
      <c r="G5" s="19"/>
      <c r="H5" s="19"/>
      <c r="I5" s="19"/>
      <c r="J5" s="19"/>
    </row>
    <row r="6" spans="2:10" ht="15">
      <c r="B6" s="100" t="str">
        <f>"1. This budget outlines the cost of production for an elk cow 'calf' enterprise with "&amp;Input!F4&amp;" elk 'cows', "&amp;Input!F5&amp;" herd 'bulls' and an "&amp;Input!F8&amp;"% calf crop."</f>
        <v>1. This budget outlines the cost of production for an elk cow 'calf' enterprise with 30 elk 'cows', 2 herd 'bulls' and an 82% calf crop.</v>
      </c>
      <c r="C6" s="101"/>
      <c r="D6" s="101"/>
      <c r="E6" s="101"/>
      <c r="F6" s="101"/>
      <c r="G6" s="101"/>
      <c r="H6" s="101"/>
      <c r="I6" s="101"/>
      <c r="J6" s="101"/>
    </row>
    <row r="7" spans="2:10" ht="15">
      <c r="B7" s="101"/>
      <c r="C7" s="101"/>
      <c r="D7" s="101"/>
      <c r="E7" s="101"/>
      <c r="F7" s="101"/>
      <c r="G7" s="101"/>
      <c r="H7" s="101"/>
      <c r="I7" s="101"/>
      <c r="J7" s="101"/>
    </row>
    <row r="8" spans="2:10" ht="18">
      <c r="B8" s="19"/>
      <c r="C8" s="19"/>
      <c r="D8" s="19"/>
      <c r="E8" s="19"/>
      <c r="F8" s="19"/>
      <c r="G8" s="19"/>
      <c r="H8" s="19"/>
      <c r="I8" s="19"/>
      <c r="J8" s="19"/>
    </row>
    <row r="9" spans="2:10" ht="18">
      <c r="B9" s="62" t="s">
        <v>150</v>
      </c>
      <c r="C9" s="19"/>
      <c r="D9" s="19"/>
      <c r="E9" s="19"/>
      <c r="F9" s="19"/>
      <c r="G9" s="19"/>
      <c r="H9" s="19"/>
      <c r="I9" s="19"/>
      <c r="J9" s="19"/>
    </row>
    <row r="10" spans="2:10" ht="18">
      <c r="B10" s="19"/>
      <c r="C10" s="19"/>
      <c r="D10" s="19"/>
      <c r="E10" s="19"/>
      <c r="F10" s="19"/>
      <c r="G10" s="19"/>
      <c r="H10" s="19"/>
      <c r="I10" s="19"/>
      <c r="J10" s="19"/>
    </row>
    <row r="11" spans="2:10" ht="18">
      <c r="B11" s="62" t="s">
        <v>151</v>
      </c>
      <c r="C11" s="19"/>
      <c r="D11" s="19"/>
      <c r="E11" s="19"/>
      <c r="F11" s="19"/>
      <c r="G11" s="19"/>
      <c r="H11" s="19"/>
      <c r="I11" s="19"/>
      <c r="J11" s="19"/>
    </row>
    <row r="12" spans="2:10" ht="18">
      <c r="B12" s="19"/>
      <c r="C12" s="19"/>
      <c r="D12" s="19"/>
      <c r="E12" s="19"/>
      <c r="F12" s="19"/>
      <c r="G12" s="19"/>
      <c r="H12" s="19"/>
      <c r="I12" s="19"/>
      <c r="J12" s="19"/>
    </row>
    <row r="13" spans="2:10" ht="15">
      <c r="B13" s="100" t="str">
        <f>"4. This budget assumes all replacements are purchased. Replacement rates on elk 'cows' used are "&amp;Input!F14&amp;"% and rates on the herd 'bulls' are "&amp;Input!F15&amp;"%."</f>
        <v>4. This budget assumes all replacements are purchased. Replacement rates on elk 'cows' used are 10% and rates on the herd 'bulls' are 20%.</v>
      </c>
      <c r="C13" s="101"/>
      <c r="D13" s="101"/>
      <c r="E13" s="101"/>
      <c r="F13" s="101"/>
      <c r="G13" s="101"/>
      <c r="H13" s="101"/>
      <c r="I13" s="101"/>
      <c r="J13" s="101"/>
    </row>
    <row r="14" spans="2:10" ht="15">
      <c r="B14" s="101"/>
      <c r="C14" s="101"/>
      <c r="D14" s="101"/>
      <c r="E14" s="101"/>
      <c r="F14" s="101"/>
      <c r="G14" s="101"/>
      <c r="H14" s="101"/>
      <c r="I14" s="101"/>
      <c r="J14" s="101"/>
    </row>
    <row r="15" spans="2:10" ht="18">
      <c r="B15" s="19"/>
      <c r="C15" s="19"/>
      <c r="D15" s="19"/>
      <c r="E15" s="19"/>
      <c r="F15" s="19"/>
      <c r="G15" s="19"/>
      <c r="H15" s="19"/>
      <c r="I15" s="19"/>
      <c r="J15" s="19"/>
    </row>
    <row r="16" spans="2:10" ht="18">
      <c r="B16" s="62" t="s">
        <v>152</v>
      </c>
      <c r="C16" s="19"/>
      <c r="D16" s="19"/>
      <c r="E16" s="19"/>
      <c r="F16" s="19"/>
      <c r="G16" s="19"/>
      <c r="H16" s="19"/>
      <c r="I16" s="19"/>
      <c r="J16" s="19"/>
    </row>
    <row r="17" spans="2:10" ht="18">
      <c r="B17" s="62"/>
      <c r="C17" s="19"/>
      <c r="D17" s="19"/>
      <c r="E17" s="19"/>
      <c r="F17" s="19"/>
      <c r="G17" s="19"/>
      <c r="H17" s="19"/>
      <c r="I17" s="19"/>
      <c r="J17" s="19"/>
    </row>
    <row r="18" ht="15.75">
      <c r="J18" s="63" t="s">
        <v>148</v>
      </c>
    </row>
    <row r="19" ht="15.75">
      <c r="B19" s="28" t="s">
        <v>3</v>
      </c>
    </row>
    <row r="21" ht="15.75">
      <c r="B21" s="28" t="s">
        <v>7</v>
      </c>
    </row>
    <row r="22" ht="15.75">
      <c r="B22" s="28" t="s">
        <v>17</v>
      </c>
    </row>
    <row r="23" spans="3:10" ht="15">
      <c r="C23" s="21" t="s">
        <v>20</v>
      </c>
      <c r="E23" s="53">
        <f>Input!D24</f>
        <v>6</v>
      </c>
      <c r="G23" s="21" t="s">
        <v>21</v>
      </c>
      <c r="J23" s="50"/>
    </row>
    <row r="24" spans="4:10" ht="15">
      <c r="D24" s="45" t="s">
        <v>23</v>
      </c>
      <c r="E24" s="21">
        <f>Input!F29</f>
        <v>220</v>
      </c>
      <c r="G24" s="21" t="s">
        <v>24</v>
      </c>
      <c r="J24" s="50"/>
    </row>
    <row r="25" spans="4:10" ht="15">
      <c r="D25" s="45" t="s">
        <v>142</v>
      </c>
      <c r="E25" s="21">
        <v>1000</v>
      </c>
      <c r="G25" s="21" t="s">
        <v>26</v>
      </c>
      <c r="J25" s="50"/>
    </row>
    <row r="26" spans="4:10" ht="15">
      <c r="D26" s="45" t="s">
        <v>23</v>
      </c>
      <c r="E26" s="64">
        <f>Input!F33</f>
        <v>50</v>
      </c>
      <c r="F26" s="31"/>
      <c r="G26" s="31" t="s">
        <v>28</v>
      </c>
      <c r="J26" s="50"/>
    </row>
    <row r="27" spans="4:10" ht="15">
      <c r="D27" s="45" t="s">
        <v>30</v>
      </c>
      <c r="E27" s="25">
        <f>ROUND((E23*E24/E25)*E26,2)</f>
        <v>66</v>
      </c>
      <c r="G27" s="21" t="s">
        <v>137</v>
      </c>
      <c r="J27" s="50"/>
    </row>
    <row r="29" spans="3:10" ht="15">
      <c r="C29" s="21" t="s">
        <v>33</v>
      </c>
      <c r="E29" s="53">
        <f>Input!E24</f>
        <v>6</v>
      </c>
      <c r="G29" s="21" t="s">
        <v>21</v>
      </c>
      <c r="J29" s="50"/>
    </row>
    <row r="30" spans="4:10" ht="15">
      <c r="D30" s="45" t="s">
        <v>23</v>
      </c>
      <c r="E30" s="65">
        <f>Input!F5</f>
        <v>2</v>
      </c>
      <c r="G30" s="21" t="s">
        <v>217</v>
      </c>
      <c r="J30" s="50"/>
    </row>
    <row r="31" spans="4:10" ht="15">
      <c r="D31" s="45" t="s">
        <v>23</v>
      </c>
      <c r="E31" s="21">
        <f>Input!F29</f>
        <v>220</v>
      </c>
      <c r="G31" s="21" t="s">
        <v>24</v>
      </c>
      <c r="J31" s="50"/>
    </row>
    <row r="32" spans="4:10" ht="15">
      <c r="D32" s="45" t="s">
        <v>142</v>
      </c>
      <c r="E32" s="21">
        <v>1000</v>
      </c>
      <c r="G32" s="21" t="s">
        <v>26</v>
      </c>
      <c r="I32" s="21" t="s">
        <v>1</v>
      </c>
      <c r="J32" s="50"/>
    </row>
    <row r="33" spans="4:10" ht="15">
      <c r="D33" s="45" t="s">
        <v>23</v>
      </c>
      <c r="E33" s="25">
        <f>Input!F33</f>
        <v>50</v>
      </c>
      <c r="G33" s="21" t="s">
        <v>28</v>
      </c>
      <c r="J33" s="50"/>
    </row>
    <row r="34" spans="4:10" ht="15">
      <c r="D34" s="45" t="s">
        <v>142</v>
      </c>
      <c r="E34" s="31">
        <f>Input!$F$4</f>
        <v>30</v>
      </c>
      <c r="F34" s="31"/>
      <c r="G34" s="31" t="s">
        <v>147</v>
      </c>
      <c r="J34" s="50"/>
    </row>
    <row r="35" spans="4:10" ht="15">
      <c r="D35" s="45" t="s">
        <v>30</v>
      </c>
      <c r="E35" s="25">
        <f>ROUND(((E29*E30*E31/E32)*E33)/E34,2)</f>
        <v>4.4</v>
      </c>
      <c r="G35" s="21" t="s">
        <v>137</v>
      </c>
      <c r="J35" s="56"/>
    </row>
    <row r="36" ht="15">
      <c r="J36" s="57"/>
    </row>
    <row r="37" spans="3:10" ht="15.75">
      <c r="C37" s="4" t="s">
        <v>143</v>
      </c>
      <c r="E37" s="29">
        <f>E27+E35</f>
        <v>70.4</v>
      </c>
      <c r="G37" s="4" t="s">
        <v>137</v>
      </c>
      <c r="J37" s="50"/>
    </row>
    <row r="39" ht="15.75">
      <c r="B39" s="28" t="s">
        <v>48</v>
      </c>
    </row>
    <row r="40" spans="2:10" ht="15">
      <c r="B40" s="21" t="s">
        <v>1</v>
      </c>
      <c r="C40" s="21" t="s">
        <v>20</v>
      </c>
      <c r="E40" s="53">
        <f>Input!D25</f>
        <v>0.5</v>
      </c>
      <c r="G40" s="21" t="s">
        <v>255</v>
      </c>
      <c r="J40" s="50"/>
    </row>
    <row r="41" spans="4:10" ht="15">
      <c r="D41" s="45" t="s">
        <v>23</v>
      </c>
      <c r="E41" s="21">
        <f>Input!F29</f>
        <v>220</v>
      </c>
      <c r="G41" s="21" t="s">
        <v>24</v>
      </c>
      <c r="J41" s="50"/>
    </row>
    <row r="42" spans="2:10" ht="15">
      <c r="B42" s="21" t="s">
        <v>1</v>
      </c>
      <c r="D42" s="45" t="s">
        <v>142</v>
      </c>
      <c r="E42" s="21">
        <v>1000</v>
      </c>
      <c r="G42" s="21" t="s">
        <v>26</v>
      </c>
      <c r="J42" s="50"/>
    </row>
    <row r="43" spans="4:10" ht="15">
      <c r="D43" s="45" t="s">
        <v>23</v>
      </c>
      <c r="E43" s="64">
        <f>Input!F34</f>
        <v>90</v>
      </c>
      <c r="F43" s="31"/>
      <c r="G43" s="31" t="s">
        <v>28</v>
      </c>
      <c r="J43" s="50"/>
    </row>
    <row r="44" spans="4:10" ht="15">
      <c r="D44" s="45" t="s">
        <v>30</v>
      </c>
      <c r="E44" s="25">
        <f>ROUND((E40*E41/1000)*E43,2)</f>
        <v>9.9</v>
      </c>
      <c r="G44" s="21" t="s">
        <v>137</v>
      </c>
      <c r="J44" s="50"/>
    </row>
    <row r="46" spans="2:10" ht="15">
      <c r="B46" s="21" t="s">
        <v>1</v>
      </c>
      <c r="C46" s="21" t="s">
        <v>33</v>
      </c>
      <c r="E46" s="53">
        <f>Input!E25</f>
        <v>2</v>
      </c>
      <c r="G46" s="21" t="s">
        <v>51</v>
      </c>
      <c r="J46" s="50"/>
    </row>
    <row r="47" spans="4:10" ht="15">
      <c r="D47" s="45" t="s">
        <v>23</v>
      </c>
      <c r="E47" s="65">
        <f>Input!F5</f>
        <v>2</v>
      </c>
      <c r="G47" s="21" t="s">
        <v>217</v>
      </c>
      <c r="J47" s="50"/>
    </row>
    <row r="48" spans="4:10" ht="15">
      <c r="D48" s="45" t="s">
        <v>23</v>
      </c>
      <c r="E48" s="21">
        <f>Input!F29</f>
        <v>220</v>
      </c>
      <c r="G48" s="21" t="s">
        <v>24</v>
      </c>
      <c r="J48" s="50"/>
    </row>
    <row r="49" spans="2:10" ht="15">
      <c r="B49" s="21" t="s">
        <v>1</v>
      </c>
      <c r="D49" s="45" t="s">
        <v>142</v>
      </c>
      <c r="E49" s="21">
        <v>1000</v>
      </c>
      <c r="G49" s="21" t="s">
        <v>26</v>
      </c>
      <c r="J49" s="50"/>
    </row>
    <row r="50" spans="4:10" ht="15">
      <c r="D50" s="45" t="s">
        <v>23</v>
      </c>
      <c r="E50" s="25">
        <f>Input!F34</f>
        <v>90</v>
      </c>
      <c r="G50" s="21" t="s">
        <v>28</v>
      </c>
      <c r="J50" s="50"/>
    </row>
    <row r="51" spans="4:10" ht="15">
      <c r="D51" s="45" t="s">
        <v>142</v>
      </c>
      <c r="E51" s="31">
        <f>Input!$F$4</f>
        <v>30</v>
      </c>
      <c r="F51" s="31"/>
      <c r="G51" s="31" t="s">
        <v>147</v>
      </c>
      <c r="J51" s="50"/>
    </row>
    <row r="52" spans="4:10" ht="15">
      <c r="D52" s="45" t="s">
        <v>30</v>
      </c>
      <c r="E52" s="25">
        <f>ROUND(((E46*E47*E48/E49)*E50)/E51,2)</f>
        <v>2.64</v>
      </c>
      <c r="G52" s="21" t="s">
        <v>137</v>
      </c>
      <c r="J52" s="50"/>
    </row>
    <row r="54" spans="3:10" ht="15.75">
      <c r="C54" s="21" t="s">
        <v>143</v>
      </c>
      <c r="E54" s="29">
        <f>E44+E52</f>
        <v>12.540000000000001</v>
      </c>
      <c r="G54" s="21" t="s">
        <v>137</v>
      </c>
      <c r="J54" s="50"/>
    </row>
    <row r="56" ht="15.75">
      <c r="B56" s="28" t="s">
        <v>66</v>
      </c>
    </row>
    <row r="57" spans="3:10" ht="15">
      <c r="C57" s="21" t="s">
        <v>20</v>
      </c>
      <c r="E57" s="53">
        <f>Input!D26</f>
        <v>0.5</v>
      </c>
      <c r="G57" s="21" t="s">
        <v>67</v>
      </c>
      <c r="J57" s="50"/>
    </row>
    <row r="58" spans="4:10" ht="15">
      <c r="D58" s="45" t="s">
        <v>23</v>
      </c>
      <c r="E58" s="21">
        <f>Input!F30</f>
        <v>220</v>
      </c>
      <c r="G58" s="21" t="s">
        <v>24</v>
      </c>
      <c r="J58" s="50"/>
    </row>
    <row r="59" spans="4:10" ht="15">
      <c r="D59" s="45" t="s">
        <v>142</v>
      </c>
      <c r="E59" s="21">
        <v>1000</v>
      </c>
      <c r="G59" s="21" t="s">
        <v>26</v>
      </c>
      <c r="J59" s="50"/>
    </row>
    <row r="60" spans="4:10" ht="15">
      <c r="D60" s="45" t="s">
        <v>23</v>
      </c>
      <c r="E60" s="64">
        <f>Input!F35</f>
        <v>270</v>
      </c>
      <c r="F60" s="31"/>
      <c r="G60" s="31" t="s">
        <v>28</v>
      </c>
      <c r="J60" s="50"/>
    </row>
    <row r="61" spans="4:10" ht="15">
      <c r="D61" s="45" t="s">
        <v>30</v>
      </c>
      <c r="E61" s="25">
        <f>ROUND((E57*E58/1000)*E60,2)</f>
        <v>29.7</v>
      </c>
      <c r="G61" s="21" t="s">
        <v>137</v>
      </c>
      <c r="J61" s="50"/>
    </row>
    <row r="63" spans="3:10" ht="15">
      <c r="C63" s="21" t="s">
        <v>33</v>
      </c>
      <c r="E63" s="53">
        <f>Input!E26</f>
        <v>0.5</v>
      </c>
      <c r="G63" s="21" t="s">
        <v>67</v>
      </c>
      <c r="J63" s="50"/>
    </row>
    <row r="64" spans="4:10" ht="15">
      <c r="D64" s="45" t="s">
        <v>23</v>
      </c>
      <c r="E64" s="65">
        <f>Input!F5</f>
        <v>2</v>
      </c>
      <c r="G64" s="21" t="s">
        <v>217</v>
      </c>
      <c r="J64" s="50"/>
    </row>
    <row r="65" spans="4:10" ht="15">
      <c r="D65" s="45" t="s">
        <v>23</v>
      </c>
      <c r="E65" s="21">
        <f>Input!F30</f>
        <v>220</v>
      </c>
      <c r="G65" s="21" t="s">
        <v>24</v>
      </c>
      <c r="J65" s="50"/>
    </row>
    <row r="66" spans="4:10" ht="15">
      <c r="D66" s="45" t="s">
        <v>142</v>
      </c>
      <c r="E66" s="21">
        <v>1000</v>
      </c>
      <c r="G66" s="21" t="s">
        <v>26</v>
      </c>
      <c r="J66" s="50"/>
    </row>
    <row r="67" spans="4:10" ht="15">
      <c r="D67" s="45" t="s">
        <v>23</v>
      </c>
      <c r="E67" s="25">
        <f>Input!F35</f>
        <v>270</v>
      </c>
      <c r="G67" s="21" t="s">
        <v>28</v>
      </c>
      <c r="J67" s="50"/>
    </row>
    <row r="68" spans="4:10" ht="15">
      <c r="D68" s="45" t="s">
        <v>142</v>
      </c>
      <c r="E68" s="31">
        <f>Input!$F$4</f>
        <v>30</v>
      </c>
      <c r="F68" s="31"/>
      <c r="G68" s="31" t="s">
        <v>147</v>
      </c>
      <c r="J68" s="50"/>
    </row>
    <row r="69" spans="4:10" ht="15">
      <c r="D69" s="45" t="s">
        <v>30</v>
      </c>
      <c r="E69" s="25">
        <f>ROUND(((E63*E64*E65/E66)*E67)/E68,2)</f>
        <v>1.98</v>
      </c>
      <c r="G69" s="21" t="s">
        <v>137</v>
      </c>
      <c r="J69" s="50"/>
    </row>
    <row r="71" spans="3:10" ht="15.75">
      <c r="C71" s="21" t="s">
        <v>143</v>
      </c>
      <c r="E71" s="29">
        <f>E61+E69</f>
        <v>31.68</v>
      </c>
      <c r="G71" s="21" t="s">
        <v>137</v>
      </c>
      <c r="J71" s="50"/>
    </row>
    <row r="73" ht="15.75">
      <c r="B73" s="28" t="s">
        <v>16</v>
      </c>
    </row>
    <row r="75" ht="15.75">
      <c r="B75" s="28" t="s">
        <v>73</v>
      </c>
    </row>
    <row r="76" spans="2:10" ht="15.75">
      <c r="B76" s="28"/>
      <c r="C76" s="21" t="s">
        <v>20</v>
      </c>
      <c r="E76" s="25">
        <f>Input!F40</f>
        <v>20</v>
      </c>
      <c r="G76" s="21" t="s">
        <v>262</v>
      </c>
      <c r="J76" s="50"/>
    </row>
    <row r="77" ht="15.75">
      <c r="B77" s="28"/>
    </row>
    <row r="78" spans="3:10" ht="15">
      <c r="C78" s="21" t="s">
        <v>144</v>
      </c>
      <c r="E78" s="25">
        <f>Input!F43</f>
        <v>1</v>
      </c>
      <c r="G78" s="21" t="s">
        <v>172</v>
      </c>
      <c r="J78" s="50"/>
    </row>
    <row r="79" spans="4:10" ht="15">
      <c r="D79" s="45" t="s">
        <v>23</v>
      </c>
      <c r="E79" s="31">
        <f>Input!F8</f>
        <v>82</v>
      </c>
      <c r="F79" s="31"/>
      <c r="G79" s="31" t="s">
        <v>173</v>
      </c>
      <c r="J79" s="50"/>
    </row>
    <row r="80" spans="4:10" ht="15">
      <c r="D80" s="45" t="s">
        <v>30</v>
      </c>
      <c r="E80" s="25">
        <f>E78*E79/100</f>
        <v>0.82</v>
      </c>
      <c r="G80" s="21" t="s">
        <v>137</v>
      </c>
      <c r="J80" s="50"/>
    </row>
    <row r="82" spans="3:10" ht="15">
      <c r="C82" s="21" t="s">
        <v>145</v>
      </c>
      <c r="E82" s="25">
        <f>Input!F50</f>
        <v>20</v>
      </c>
      <c r="G82" s="21" t="s">
        <v>171</v>
      </c>
      <c r="J82" s="50"/>
    </row>
    <row r="83" spans="4:10" ht="15">
      <c r="D83" s="45" t="s">
        <v>23</v>
      </c>
      <c r="E83" s="68">
        <f>Input!F5</f>
        <v>2</v>
      </c>
      <c r="G83" s="21" t="s">
        <v>217</v>
      </c>
      <c r="J83" s="50"/>
    </row>
    <row r="84" spans="4:10" ht="15">
      <c r="D84" s="69" t="s">
        <v>142</v>
      </c>
      <c r="E84" s="31">
        <f>Input!$F$4</f>
        <v>30</v>
      </c>
      <c r="F84" s="31"/>
      <c r="G84" s="31" t="s">
        <v>147</v>
      </c>
      <c r="J84" s="50"/>
    </row>
    <row r="85" spans="4:10" ht="15">
      <c r="D85" s="45" t="s">
        <v>30</v>
      </c>
      <c r="E85" s="25">
        <f>SUM(E82*E83)/E84</f>
        <v>1.3333333333333333</v>
      </c>
      <c r="G85" s="21" t="s">
        <v>137</v>
      </c>
      <c r="J85" s="50"/>
    </row>
    <row r="87" ht="15">
      <c r="C87" s="21" t="s">
        <v>68</v>
      </c>
    </row>
    <row r="88" spans="3:10" ht="15">
      <c r="C88" s="21" t="s">
        <v>77</v>
      </c>
      <c r="E88" s="25">
        <f>Input!F46</f>
        <v>64.2</v>
      </c>
      <c r="G88" s="21" t="s">
        <v>69</v>
      </c>
      <c r="J88" s="50"/>
    </row>
    <row r="89" spans="4:10" ht="15">
      <c r="D89" s="45" t="s">
        <v>76</v>
      </c>
      <c r="E89" s="25">
        <f>Input!F47</f>
        <v>21.4</v>
      </c>
      <c r="G89" s="21" t="s">
        <v>196</v>
      </c>
      <c r="J89" s="50"/>
    </row>
    <row r="90" spans="4:10" ht="15">
      <c r="D90" s="45" t="s">
        <v>76</v>
      </c>
      <c r="E90" s="64">
        <f>Input!F48</f>
        <v>10</v>
      </c>
      <c r="F90" s="70"/>
      <c r="G90" s="70" t="s">
        <v>174</v>
      </c>
      <c r="J90" s="50"/>
    </row>
    <row r="91" spans="4:10" ht="15">
      <c r="D91" s="45" t="s">
        <v>30</v>
      </c>
      <c r="E91" s="25">
        <f>SUM(E88:E90)</f>
        <v>95.6</v>
      </c>
      <c r="G91" s="21" t="s">
        <v>175</v>
      </c>
      <c r="J91" s="50"/>
    </row>
    <row r="92" spans="4:10" ht="15">
      <c r="D92" s="45" t="s">
        <v>23</v>
      </c>
      <c r="E92" s="65">
        <f>ROUNDDOWN(Input!F4*Input!F8/100,0)</f>
        <v>24</v>
      </c>
      <c r="G92" s="21" t="s">
        <v>176</v>
      </c>
      <c r="J92" s="50"/>
    </row>
    <row r="93" spans="4:10" ht="15">
      <c r="D93" s="69" t="s">
        <v>142</v>
      </c>
      <c r="E93" s="31">
        <f>Input!$F$4</f>
        <v>30</v>
      </c>
      <c r="G93" s="31" t="s">
        <v>147</v>
      </c>
      <c r="J93" s="50"/>
    </row>
    <row r="94" spans="4:10" ht="15">
      <c r="D94" s="45" t="s">
        <v>30</v>
      </c>
      <c r="E94" s="25">
        <f>E91*E92/E93</f>
        <v>76.47999999999999</v>
      </c>
      <c r="G94" s="21" t="s">
        <v>137</v>
      </c>
      <c r="J94" s="50"/>
    </row>
    <row r="96" spans="3:10" ht="15.75">
      <c r="C96" s="21" t="s">
        <v>143</v>
      </c>
      <c r="E96" s="29">
        <f>E76+E80+E85+E94</f>
        <v>98.63333333333333</v>
      </c>
      <c r="G96" s="21" t="s">
        <v>137</v>
      </c>
      <c r="J96" s="50"/>
    </row>
    <row r="98" ht="15.75">
      <c r="B98" s="28" t="s">
        <v>82</v>
      </c>
    </row>
    <row r="99" spans="2:10" ht="15">
      <c r="B99" s="21" t="s">
        <v>197</v>
      </c>
      <c r="E99" s="25">
        <f>Input!F55</f>
        <v>200</v>
      </c>
      <c r="G99" s="21" t="s">
        <v>177</v>
      </c>
      <c r="J99" s="50"/>
    </row>
    <row r="100" spans="4:10" ht="15">
      <c r="D100" s="45" t="s">
        <v>76</v>
      </c>
      <c r="E100" s="64">
        <f>Input!F56</f>
        <v>200</v>
      </c>
      <c r="F100" s="31"/>
      <c r="G100" s="31" t="s">
        <v>178</v>
      </c>
      <c r="H100" s="31"/>
      <c r="J100" s="50"/>
    </row>
    <row r="101" spans="4:10" ht="15">
      <c r="D101" s="45" t="s">
        <v>30</v>
      </c>
      <c r="E101" s="25">
        <f>E99+E100</f>
        <v>400</v>
      </c>
      <c r="G101" s="21" t="s">
        <v>179</v>
      </c>
      <c r="J101" s="50"/>
    </row>
    <row r="102" spans="4:10" ht="15">
      <c r="D102" s="45" t="s">
        <v>142</v>
      </c>
      <c r="E102" s="31">
        <f>Input!F4</f>
        <v>30</v>
      </c>
      <c r="F102" s="31"/>
      <c r="G102" s="31" t="s">
        <v>147</v>
      </c>
      <c r="J102" s="50"/>
    </row>
    <row r="103" spans="4:10" ht="15">
      <c r="D103" s="45" t="s">
        <v>30</v>
      </c>
      <c r="E103" s="25">
        <f>ROUND(E101/E102,2)</f>
        <v>13.33</v>
      </c>
      <c r="G103" s="21" t="s">
        <v>137</v>
      </c>
      <c r="J103" s="50"/>
    </row>
    <row r="105" spans="2:10" ht="15">
      <c r="B105" s="21" t="s">
        <v>198</v>
      </c>
      <c r="E105" s="25">
        <f>Input!F57</f>
        <v>400</v>
      </c>
      <c r="G105" s="21" t="s">
        <v>180</v>
      </c>
      <c r="J105" s="50"/>
    </row>
    <row r="106" spans="4:10" ht="15">
      <c r="D106" s="45" t="s">
        <v>142</v>
      </c>
      <c r="E106" s="31">
        <f>Input!F4</f>
        <v>30</v>
      </c>
      <c r="F106" s="31"/>
      <c r="G106" s="31" t="s">
        <v>147</v>
      </c>
      <c r="J106" s="50"/>
    </row>
    <row r="107" spans="4:10" ht="15">
      <c r="D107" s="45" t="s">
        <v>30</v>
      </c>
      <c r="E107" s="25">
        <f>ROUND(E105/E106,2)</f>
        <v>13.33</v>
      </c>
      <c r="G107" s="21" t="s">
        <v>137</v>
      </c>
      <c r="J107" s="50"/>
    </row>
    <row r="108" spans="4:7" ht="15">
      <c r="D108" s="45"/>
      <c r="E108" s="64"/>
      <c r="F108" s="31"/>
      <c r="G108" s="31"/>
    </row>
    <row r="109" spans="3:10" ht="15.75">
      <c r="C109" s="43" t="s">
        <v>143</v>
      </c>
      <c r="D109" s="45" t="s">
        <v>30</v>
      </c>
      <c r="E109" s="29">
        <f>ROUND(E103+E107,2)</f>
        <v>26.66</v>
      </c>
      <c r="G109" s="21" t="s">
        <v>137</v>
      </c>
      <c r="J109" s="50"/>
    </row>
    <row r="110" ht="15">
      <c r="D110" s="45"/>
    </row>
    <row r="111" spans="2:4" ht="15.75">
      <c r="B111" s="28" t="s">
        <v>92</v>
      </c>
      <c r="D111" s="45"/>
    </row>
    <row r="112" spans="4:10" ht="15">
      <c r="D112" s="45"/>
      <c r="E112" s="25">
        <f>Input!F63+Input!F64+Input!F65</f>
        <v>400</v>
      </c>
      <c r="G112" s="21" t="s">
        <v>181</v>
      </c>
      <c r="J112" s="50"/>
    </row>
    <row r="113" spans="4:10" ht="15">
      <c r="D113" s="45" t="s">
        <v>142</v>
      </c>
      <c r="E113" s="31">
        <f>Input!F4</f>
        <v>30</v>
      </c>
      <c r="F113" s="31"/>
      <c r="G113" s="31" t="s">
        <v>147</v>
      </c>
      <c r="J113" s="50"/>
    </row>
    <row r="114" spans="4:10" ht="15.75">
      <c r="D114" s="45" t="s">
        <v>30</v>
      </c>
      <c r="E114" s="29">
        <f>E112/E113</f>
        <v>13.333333333333334</v>
      </c>
      <c r="G114" s="21" t="s">
        <v>137</v>
      </c>
      <c r="J114" s="50"/>
    </row>
    <row r="115" ht="15">
      <c r="D115" s="45"/>
    </row>
    <row r="116" spans="2:4" ht="15.75">
      <c r="B116" s="28" t="s">
        <v>97</v>
      </c>
      <c r="D116" s="45"/>
    </row>
    <row r="117" spans="4:10" ht="15">
      <c r="D117" s="45" t="s">
        <v>23</v>
      </c>
      <c r="E117" s="30">
        <f>Input!F6</f>
        <v>600</v>
      </c>
      <c r="G117" s="21" t="s">
        <v>98</v>
      </c>
      <c r="J117" s="50"/>
    </row>
    <row r="118" spans="4:10" ht="15">
      <c r="D118" s="45" t="s">
        <v>23</v>
      </c>
      <c r="E118" s="71">
        <f>Input!F13</f>
        <v>0.7</v>
      </c>
      <c r="F118" s="31"/>
      <c r="G118" s="31" t="s">
        <v>182</v>
      </c>
      <c r="J118" s="50"/>
    </row>
    <row r="119" spans="4:10" ht="15.75">
      <c r="D119" s="45" t="s">
        <v>30</v>
      </c>
      <c r="E119" s="29">
        <f>ROUND(E117*E118/100,2)</f>
        <v>4.2</v>
      </c>
      <c r="G119" s="21" t="s">
        <v>137</v>
      </c>
      <c r="J119" s="50"/>
    </row>
    <row r="121" ht="15.75">
      <c r="B121" s="28" t="s">
        <v>100</v>
      </c>
    </row>
    <row r="122" spans="5:10" ht="15">
      <c r="E122" s="30">
        <f>Input!E104+Input!E110</f>
        <v>26300</v>
      </c>
      <c r="G122" s="21" t="s">
        <v>183</v>
      </c>
      <c r="J122" s="50"/>
    </row>
    <row r="123" spans="4:10" ht="15">
      <c r="D123" s="45" t="s">
        <v>23</v>
      </c>
      <c r="E123" s="25">
        <f>Input!F77</f>
        <v>0.26</v>
      </c>
      <c r="G123" s="21" t="s">
        <v>184</v>
      </c>
      <c r="J123" s="50"/>
    </row>
    <row r="124" spans="4:10" ht="15">
      <c r="D124" s="45" t="s">
        <v>142</v>
      </c>
      <c r="E124" s="21">
        <v>100</v>
      </c>
      <c r="J124" s="50"/>
    </row>
    <row r="125" spans="4:10" ht="15">
      <c r="D125" s="45" t="s">
        <v>142</v>
      </c>
      <c r="E125" s="31">
        <f>Input!F4</f>
        <v>30</v>
      </c>
      <c r="F125" s="31"/>
      <c r="G125" s="31" t="s">
        <v>147</v>
      </c>
      <c r="H125" s="31"/>
      <c r="J125" s="50"/>
    </row>
    <row r="126" spans="4:10" ht="15">
      <c r="D126" s="45" t="s">
        <v>30</v>
      </c>
      <c r="E126" s="25">
        <f>ROUND(E122*(E123/E124)/E125,2)</f>
        <v>2.28</v>
      </c>
      <c r="G126" s="21" t="s">
        <v>137</v>
      </c>
      <c r="J126" s="50"/>
    </row>
    <row r="127" ht="15">
      <c r="D127" s="45"/>
    </row>
    <row r="128" spans="4:10" ht="15">
      <c r="D128" s="45"/>
      <c r="E128" s="30">
        <f>Input!E120</f>
        <v>22000</v>
      </c>
      <c r="G128" s="21" t="s">
        <v>185</v>
      </c>
      <c r="J128" s="50"/>
    </row>
    <row r="129" spans="4:10" ht="15">
      <c r="D129" s="45" t="s">
        <v>23</v>
      </c>
      <c r="E129" s="25">
        <f>Input!F76</f>
        <v>0</v>
      </c>
      <c r="G129" s="21" t="s">
        <v>184</v>
      </c>
      <c r="J129" s="50"/>
    </row>
    <row r="130" spans="4:10" ht="15">
      <c r="D130" s="45" t="s">
        <v>142</v>
      </c>
      <c r="E130" s="21">
        <v>100</v>
      </c>
      <c r="J130" s="50"/>
    </row>
    <row r="131" spans="4:10" ht="15">
      <c r="D131" s="45" t="s">
        <v>142</v>
      </c>
      <c r="E131" s="31">
        <f>Input!F4</f>
        <v>30</v>
      </c>
      <c r="F131" s="31"/>
      <c r="G131" s="31" t="s">
        <v>147</v>
      </c>
      <c r="J131" s="50"/>
    </row>
    <row r="132" spans="4:10" ht="15">
      <c r="D132" s="45" t="s">
        <v>30</v>
      </c>
      <c r="E132" s="25">
        <f>ROUND(E128*(E129/E130)/E131,2)</f>
        <v>0</v>
      </c>
      <c r="G132" s="21" t="s">
        <v>137</v>
      </c>
      <c r="J132" s="50"/>
    </row>
    <row r="133" ht="15">
      <c r="D133" s="45"/>
    </row>
    <row r="134" spans="4:10" ht="15">
      <c r="D134" s="45"/>
      <c r="E134" s="49">
        <f>Input!F78</f>
        <v>30</v>
      </c>
      <c r="G134" s="21" t="s">
        <v>186</v>
      </c>
      <c r="J134" s="50"/>
    </row>
    <row r="135" spans="4:10" ht="15">
      <c r="D135" s="45" t="s">
        <v>142</v>
      </c>
      <c r="E135" s="31">
        <f>Input!F4</f>
        <v>30</v>
      </c>
      <c r="F135" s="31"/>
      <c r="G135" s="31" t="s">
        <v>147</v>
      </c>
      <c r="J135" s="50"/>
    </row>
    <row r="136" spans="4:10" ht="15">
      <c r="D136" s="45" t="s">
        <v>30</v>
      </c>
      <c r="E136" s="25">
        <f>ROUND(E134/E135,2)</f>
        <v>1</v>
      </c>
      <c r="G136" s="21" t="s">
        <v>137</v>
      </c>
      <c r="J136" s="56"/>
    </row>
    <row r="137" ht="15">
      <c r="J137" s="57"/>
    </row>
    <row r="138" spans="3:10" ht="15.75">
      <c r="C138" s="21" t="s">
        <v>146</v>
      </c>
      <c r="E138" s="29">
        <f>ROUND(E126+E132+E136,2)</f>
        <v>3.28</v>
      </c>
      <c r="G138" s="21" t="s">
        <v>137</v>
      </c>
      <c r="J138" s="50"/>
    </row>
    <row r="139" spans="4:7" ht="15">
      <c r="D139" s="21" t="s">
        <v>0</v>
      </c>
      <c r="G139" s="21" t="s">
        <v>1</v>
      </c>
    </row>
    <row r="140" ht="15.75">
      <c r="B140" s="28" t="s">
        <v>112</v>
      </c>
    </row>
    <row r="141" spans="2:10" ht="15">
      <c r="B141" s="21" t="s">
        <v>199</v>
      </c>
      <c r="E141" s="30">
        <f>Input!F6</f>
        <v>600</v>
      </c>
      <c r="G141" s="21" t="s">
        <v>114</v>
      </c>
      <c r="J141" s="50"/>
    </row>
    <row r="142" spans="4:10" ht="15">
      <c r="D142" s="45" t="s">
        <v>115</v>
      </c>
      <c r="E142" s="72">
        <f>Input!F89</f>
        <v>550</v>
      </c>
      <c r="F142" s="31"/>
      <c r="G142" s="31" t="s">
        <v>116</v>
      </c>
      <c r="J142" s="50"/>
    </row>
    <row r="143" spans="4:10" ht="15">
      <c r="D143" s="45" t="s">
        <v>30</v>
      </c>
      <c r="E143" s="30">
        <f>E141-E142</f>
        <v>50</v>
      </c>
      <c r="G143" s="21" t="s">
        <v>165</v>
      </c>
      <c r="J143" s="50"/>
    </row>
    <row r="144" spans="4:10" ht="15">
      <c r="D144" s="45" t="s">
        <v>23</v>
      </c>
      <c r="E144" s="71">
        <f>Input!F14</f>
        <v>10</v>
      </c>
      <c r="F144" s="31"/>
      <c r="G144" s="31" t="s">
        <v>117</v>
      </c>
      <c r="J144" s="50"/>
    </row>
    <row r="145" spans="4:10" ht="15">
      <c r="D145" s="45" t="s">
        <v>30</v>
      </c>
      <c r="E145" s="25">
        <f>E143*E144/100</f>
        <v>5</v>
      </c>
      <c r="G145" s="21" t="s">
        <v>137</v>
      </c>
      <c r="J145" s="56"/>
    </row>
    <row r="146" ht="15">
      <c r="D146" s="45"/>
    </row>
    <row r="147" spans="2:10" ht="15">
      <c r="B147" s="21" t="s">
        <v>200</v>
      </c>
      <c r="D147" s="45"/>
      <c r="E147" s="30">
        <f>Input!F90</f>
        <v>2000</v>
      </c>
      <c r="G147" s="21" t="s">
        <v>119</v>
      </c>
      <c r="J147" s="50"/>
    </row>
    <row r="148" spans="4:10" ht="15">
      <c r="D148" s="45" t="s">
        <v>115</v>
      </c>
      <c r="E148" s="52">
        <f>Input!F91</f>
        <v>1200</v>
      </c>
      <c r="F148" s="31"/>
      <c r="G148" s="31" t="s">
        <v>120</v>
      </c>
      <c r="H148" s="31"/>
      <c r="J148" s="50"/>
    </row>
    <row r="149" spans="4:10" ht="15">
      <c r="D149" s="45" t="s">
        <v>30</v>
      </c>
      <c r="E149" s="30">
        <f>E147-E148</f>
        <v>800</v>
      </c>
      <c r="G149" s="21" t="s">
        <v>165</v>
      </c>
      <c r="J149" s="50"/>
    </row>
    <row r="150" spans="4:10" ht="15">
      <c r="D150" s="45" t="s">
        <v>23</v>
      </c>
      <c r="E150" s="68">
        <f>Input!F5</f>
        <v>2</v>
      </c>
      <c r="G150" s="21" t="s">
        <v>217</v>
      </c>
      <c r="J150" s="50"/>
    </row>
    <row r="151" spans="4:10" ht="15">
      <c r="D151" s="45" t="s">
        <v>23</v>
      </c>
      <c r="E151" s="73">
        <f>Input!F15</f>
        <v>20</v>
      </c>
      <c r="G151" s="21" t="s">
        <v>117</v>
      </c>
      <c r="J151" s="50"/>
    </row>
    <row r="152" spans="4:10" ht="15">
      <c r="D152" s="26" t="s">
        <v>142</v>
      </c>
      <c r="E152" s="31">
        <f>Input!F4</f>
        <v>30</v>
      </c>
      <c r="F152" s="31"/>
      <c r="G152" s="31" t="s">
        <v>147</v>
      </c>
      <c r="J152" s="50"/>
    </row>
    <row r="153" spans="4:10" ht="15">
      <c r="D153" s="45" t="s">
        <v>30</v>
      </c>
      <c r="E153" s="25">
        <f>(+E149*E150*E151/100)/E152</f>
        <v>10.666666666666666</v>
      </c>
      <c r="G153" s="21" t="s">
        <v>137</v>
      </c>
      <c r="J153" s="50"/>
    </row>
    <row r="155" spans="3:10" ht="15.75">
      <c r="C155" s="21" t="s">
        <v>143</v>
      </c>
      <c r="E155" s="29">
        <f>E145+E153</f>
        <v>15.666666666666666</v>
      </c>
      <c r="G155" s="21" t="s">
        <v>137</v>
      </c>
      <c r="J155" s="50"/>
    </row>
    <row r="157" ht="15.75">
      <c r="B157" s="28" t="s">
        <v>123</v>
      </c>
    </row>
    <row r="158" spans="5:10" ht="15">
      <c r="E158" s="30">
        <f>Input!F60*Input!F16</f>
        <v>300</v>
      </c>
      <c r="G158" s="21" t="s">
        <v>187</v>
      </c>
      <c r="J158" s="50"/>
    </row>
    <row r="159" spans="4:10" ht="15">
      <c r="D159" s="74" t="s">
        <v>142</v>
      </c>
      <c r="E159" s="31">
        <f>Input!F4</f>
        <v>30</v>
      </c>
      <c r="G159" s="31" t="s">
        <v>147</v>
      </c>
      <c r="J159" s="50"/>
    </row>
    <row r="160" spans="4:10" ht="15.75">
      <c r="D160" s="75" t="s">
        <v>30</v>
      </c>
      <c r="E160" s="29">
        <f>E158/E159</f>
        <v>10</v>
      </c>
      <c r="F160" s="28"/>
      <c r="G160" s="21" t="s">
        <v>137</v>
      </c>
      <c r="J160" s="50"/>
    </row>
    <row r="162" ht="15.75">
      <c r="B162" s="28" t="s">
        <v>124</v>
      </c>
    </row>
    <row r="163" spans="5:10" ht="15">
      <c r="E163" s="25">
        <f>Input!F82</f>
        <v>25</v>
      </c>
      <c r="G163" s="21" t="s">
        <v>239</v>
      </c>
      <c r="J163" s="50"/>
    </row>
    <row r="164" spans="4:10" ht="15">
      <c r="D164" s="45" t="s">
        <v>76</v>
      </c>
      <c r="E164" s="25">
        <f>Input!F83</f>
        <v>100</v>
      </c>
      <c r="G164" s="21" t="s">
        <v>188</v>
      </c>
      <c r="J164" s="50"/>
    </row>
    <row r="165" spans="4:10" ht="15">
      <c r="D165" s="45" t="s">
        <v>142</v>
      </c>
      <c r="E165" s="31">
        <f>Input!F4</f>
        <v>30</v>
      </c>
      <c r="F165" s="31"/>
      <c r="G165" s="31" t="s">
        <v>147</v>
      </c>
      <c r="J165" s="50"/>
    </row>
    <row r="166" spans="4:10" ht="15.75">
      <c r="D166" s="45" t="s">
        <v>30</v>
      </c>
      <c r="E166" s="29">
        <f>ROUND((SUM(E163:E164)/E165),2)</f>
        <v>4.17</v>
      </c>
      <c r="G166" s="21" t="s">
        <v>137</v>
      </c>
      <c r="J166" s="50"/>
    </row>
    <row r="168" ht="15.75">
      <c r="B168" s="28" t="s">
        <v>125</v>
      </c>
    </row>
    <row r="169" spans="5:10" ht="15">
      <c r="E169" s="25">
        <f>Summary!G19</f>
        <v>290.56333333333333</v>
      </c>
      <c r="G169" s="21" t="s">
        <v>189</v>
      </c>
      <c r="J169" s="50"/>
    </row>
    <row r="170" spans="4:10" ht="15">
      <c r="D170" s="45" t="s">
        <v>142</v>
      </c>
      <c r="E170" s="21">
        <v>2</v>
      </c>
      <c r="G170" s="21" t="s">
        <v>135</v>
      </c>
      <c r="J170" s="50"/>
    </row>
    <row r="171" spans="4:10" ht="15">
      <c r="D171" s="45" t="s">
        <v>23</v>
      </c>
      <c r="E171" s="76">
        <f>Input!F72</f>
        <v>6.5</v>
      </c>
      <c r="F171" s="31"/>
      <c r="G171" s="31" t="s">
        <v>126</v>
      </c>
      <c r="J171" s="50"/>
    </row>
    <row r="172" spans="4:10" ht="15.75">
      <c r="D172" s="45" t="s">
        <v>30</v>
      </c>
      <c r="E172" s="29">
        <f>ROUND((E169/E170)*(E171/100),2)</f>
        <v>9.44</v>
      </c>
      <c r="G172" s="21" t="s">
        <v>137</v>
      </c>
      <c r="J172" s="50"/>
    </row>
    <row r="174" ht="15.75">
      <c r="B174" s="43" t="s">
        <v>37</v>
      </c>
    </row>
    <row r="175" spans="2:10" ht="18">
      <c r="B175" s="40" t="s">
        <v>153</v>
      </c>
      <c r="C175" s="95"/>
      <c r="D175" s="95"/>
      <c r="E175" s="95"/>
      <c r="F175" s="95"/>
      <c r="G175" s="95"/>
      <c r="H175" s="95"/>
      <c r="I175" s="95"/>
      <c r="J175" s="95"/>
    </row>
    <row r="176" spans="2:10" ht="15.75">
      <c r="B176" s="43"/>
      <c r="J176" s="63"/>
    </row>
    <row r="177" ht="15.75">
      <c r="B177" s="4" t="s">
        <v>102</v>
      </c>
    </row>
    <row r="178" spans="2:10" ht="15">
      <c r="B178" s="21" t="s">
        <v>103</v>
      </c>
      <c r="H178" s="49">
        <f>Input!E99</f>
        <v>14000</v>
      </c>
      <c r="J178" s="50"/>
    </row>
    <row r="179" spans="2:10" ht="15">
      <c r="B179" s="21" t="s">
        <v>104</v>
      </c>
      <c r="H179" s="49">
        <f>Input!E100</f>
        <v>2000</v>
      </c>
      <c r="J179" s="50"/>
    </row>
    <row r="180" spans="2:10" ht="15">
      <c r="B180" s="21" t="s">
        <v>105</v>
      </c>
      <c r="H180" s="49">
        <f>Input!E101</f>
        <v>0</v>
      </c>
      <c r="J180" s="50"/>
    </row>
    <row r="181" spans="2:10" ht="15">
      <c r="B181" s="21" t="s">
        <v>106</v>
      </c>
      <c r="H181" s="49">
        <f>Input!E102</f>
        <v>3500</v>
      </c>
      <c r="J181" s="50"/>
    </row>
    <row r="182" spans="2:10" ht="15">
      <c r="B182" s="21" t="s">
        <v>107</v>
      </c>
      <c r="H182" s="55">
        <f>Input!E103</f>
        <v>400</v>
      </c>
      <c r="J182" s="50"/>
    </row>
    <row r="183" spans="2:10" ht="15.75">
      <c r="B183" s="4" t="s">
        <v>201</v>
      </c>
      <c r="C183" s="4"/>
      <c r="D183" s="4"/>
      <c r="E183" s="4"/>
      <c r="F183" s="4"/>
      <c r="G183" s="4"/>
      <c r="H183" s="37">
        <f>SUM(H178:H182)</f>
        <v>19900</v>
      </c>
      <c r="J183" s="50"/>
    </row>
    <row r="184" ht="15.75">
      <c r="B184" s="43"/>
    </row>
    <row r="185" ht="15.75">
      <c r="B185" s="4" t="s">
        <v>108</v>
      </c>
    </row>
    <row r="186" spans="2:10" ht="15">
      <c r="B186" s="21" t="s">
        <v>109</v>
      </c>
      <c r="H186" s="49">
        <f>Input!E107</f>
        <v>2000</v>
      </c>
      <c r="J186" s="50"/>
    </row>
    <row r="187" spans="2:10" ht="15">
      <c r="B187" s="21" t="s">
        <v>218</v>
      </c>
      <c r="H187" s="49">
        <f>Input!E108</f>
        <v>4000</v>
      </c>
      <c r="J187" s="50"/>
    </row>
    <row r="188" spans="2:10" ht="15">
      <c r="B188" s="21" t="s">
        <v>110</v>
      </c>
      <c r="H188" s="55">
        <f>Input!E109</f>
        <v>400</v>
      </c>
      <c r="J188" s="50"/>
    </row>
    <row r="189" spans="2:10" ht="15.75">
      <c r="B189" s="4" t="s">
        <v>202</v>
      </c>
      <c r="C189" s="4"/>
      <c r="D189" s="4"/>
      <c r="E189" s="4"/>
      <c r="F189" s="4"/>
      <c r="G189" s="4"/>
      <c r="H189" s="38">
        <f>SUM(H186:H188)</f>
        <v>6400</v>
      </c>
      <c r="J189" s="50"/>
    </row>
    <row r="190" ht="15">
      <c r="H190" s="49"/>
    </row>
    <row r="191" spans="2:8" ht="15.75">
      <c r="B191" s="4" t="s">
        <v>257</v>
      </c>
      <c r="H191" s="49"/>
    </row>
    <row r="192" spans="2:10" ht="15">
      <c r="B192" s="21" t="str">
        <f>Input!B113</f>
        <v>        Fence (2 miles @ $12000/mile)</v>
      </c>
      <c r="H192" s="49">
        <f>Input!E113</f>
        <v>24000</v>
      </c>
      <c r="J192" s="50"/>
    </row>
    <row r="193" spans="2:10" ht="15">
      <c r="B193" s="21" t="str">
        <f>Input!B114</f>
        <v>        Pasture (60 ac @ $300)</v>
      </c>
      <c r="H193" s="55">
        <f>Input!E114</f>
        <v>18000</v>
      </c>
      <c r="J193" s="50"/>
    </row>
    <row r="194" spans="2:10" ht="15.75">
      <c r="B194" s="4" t="s">
        <v>258</v>
      </c>
      <c r="H194" s="38">
        <f>SUM(H192:H193)</f>
        <v>42000</v>
      </c>
      <c r="J194" s="50"/>
    </row>
    <row r="195" ht="15">
      <c r="H195" s="49"/>
    </row>
    <row r="196" spans="2:8" ht="15.75">
      <c r="B196" s="4" t="s">
        <v>113</v>
      </c>
      <c r="H196" s="49"/>
    </row>
    <row r="197" spans="2:10" ht="15">
      <c r="B197" s="21" t="str">
        <f>Input!B118</f>
        <v>        Cows (30 @ $600)</v>
      </c>
      <c r="H197" s="49">
        <f>Input!F4*Input!F6</f>
        <v>18000</v>
      </c>
      <c r="J197" s="50"/>
    </row>
    <row r="198" spans="2:10" ht="15">
      <c r="B198" s="21" t="str">
        <f>Input!B119</f>
        <v>        Herd Bulls (2 @ $2000)</v>
      </c>
      <c r="H198" s="55">
        <f>Input!F5*Input!F7</f>
        <v>4000</v>
      </c>
      <c r="J198" s="50"/>
    </row>
    <row r="199" spans="2:10" ht="15.75">
      <c r="B199" s="4" t="s">
        <v>204</v>
      </c>
      <c r="C199" s="4"/>
      <c r="D199" s="4"/>
      <c r="E199" s="4"/>
      <c r="F199" s="4"/>
      <c r="G199" s="4"/>
      <c r="H199" s="38">
        <f>SUM(H197:H198)</f>
        <v>22000</v>
      </c>
      <c r="J199" s="50"/>
    </row>
    <row r="200" ht="15">
      <c r="H200" s="49"/>
    </row>
    <row r="201" spans="2:10" ht="15.75">
      <c r="B201" s="4" t="s">
        <v>118</v>
      </c>
      <c r="C201" s="4"/>
      <c r="D201" s="4"/>
      <c r="E201" s="4"/>
      <c r="F201" s="4"/>
      <c r="G201" s="4"/>
      <c r="H201" s="38">
        <f>H183+H189+H194+H199</f>
        <v>90300</v>
      </c>
      <c r="J201" s="50"/>
    </row>
    <row r="203" spans="2:8" ht="15.75">
      <c r="B203" s="43" t="s">
        <v>127</v>
      </c>
      <c r="E203" s="97" t="s">
        <v>154</v>
      </c>
      <c r="F203" s="97"/>
      <c r="G203" s="97"/>
      <c r="H203" s="97"/>
    </row>
    <row r="204" spans="5:8" ht="15">
      <c r="E204" s="98" t="s">
        <v>155</v>
      </c>
      <c r="F204" s="98"/>
      <c r="G204" s="98"/>
      <c r="H204" s="98"/>
    </row>
    <row r="206" ht="15.75">
      <c r="B206" s="43" t="s">
        <v>128</v>
      </c>
    </row>
    <row r="207" spans="5:10" ht="15">
      <c r="E207" s="30">
        <f>Input!E104</f>
        <v>19900</v>
      </c>
      <c r="G207" s="21" t="s">
        <v>163</v>
      </c>
      <c r="J207" s="50"/>
    </row>
    <row r="208" spans="4:10" ht="15">
      <c r="D208" s="45" t="s">
        <v>115</v>
      </c>
      <c r="E208" s="30">
        <f>Input!E104*(Input!F104/100)</f>
        <v>1990</v>
      </c>
      <c r="G208" s="21" t="s">
        <v>164</v>
      </c>
      <c r="J208" s="50"/>
    </row>
    <row r="209" spans="4:10" ht="15">
      <c r="D209" s="45" t="s">
        <v>142</v>
      </c>
      <c r="E209" s="21">
        <f>Input!G104</f>
        <v>20</v>
      </c>
      <c r="G209" s="21" t="s">
        <v>129</v>
      </c>
      <c r="J209" s="50"/>
    </row>
    <row r="210" spans="4:10" ht="15">
      <c r="D210" s="45" t="s">
        <v>142</v>
      </c>
      <c r="E210" s="31">
        <f>Input!$F$4</f>
        <v>30</v>
      </c>
      <c r="F210" s="31"/>
      <c r="G210" s="31" t="s">
        <v>147</v>
      </c>
      <c r="J210" s="50"/>
    </row>
    <row r="211" spans="4:10" ht="15.75">
      <c r="D211" s="45" t="s">
        <v>30</v>
      </c>
      <c r="E211" s="29">
        <f>ROUND(((E207-E208)/E209)/E210,2)</f>
        <v>29.85</v>
      </c>
      <c r="G211" s="21" t="s">
        <v>137</v>
      </c>
      <c r="J211" s="50"/>
    </row>
    <row r="213" ht="15.75">
      <c r="B213" s="43" t="s">
        <v>130</v>
      </c>
    </row>
    <row r="214" spans="2:10" ht="15">
      <c r="B214" s="21" t="s">
        <v>253</v>
      </c>
      <c r="E214" s="30">
        <f>Input!E107+Input!E108</f>
        <v>6000</v>
      </c>
      <c r="G214" s="21" t="s">
        <v>163</v>
      </c>
      <c r="J214" s="50"/>
    </row>
    <row r="215" spans="4:10" ht="15">
      <c r="D215" s="45" t="s">
        <v>115</v>
      </c>
      <c r="E215" s="77">
        <f>E214*Input!F107/100</f>
        <v>1800</v>
      </c>
      <c r="F215" s="78"/>
      <c r="G215" s="78" t="s">
        <v>164</v>
      </c>
      <c r="J215" s="50"/>
    </row>
    <row r="216" spans="4:10" ht="15">
      <c r="D216" s="45" t="s">
        <v>142</v>
      </c>
      <c r="E216" s="79">
        <f>Input!G107</f>
        <v>10</v>
      </c>
      <c r="G216" s="21" t="s">
        <v>129</v>
      </c>
      <c r="J216" s="50"/>
    </row>
    <row r="217" spans="4:10" ht="15">
      <c r="D217" s="45" t="s">
        <v>142</v>
      </c>
      <c r="E217" s="80">
        <f>Input!F4</f>
        <v>30</v>
      </c>
      <c r="F217" s="31"/>
      <c r="G217" s="31" t="s">
        <v>147</v>
      </c>
      <c r="J217" s="50"/>
    </row>
    <row r="218" spans="4:10" ht="15">
      <c r="D218" s="45" t="s">
        <v>30</v>
      </c>
      <c r="E218" s="25">
        <f>((E214-E215)/E216)/E217</f>
        <v>14</v>
      </c>
      <c r="G218" s="21" t="s">
        <v>137</v>
      </c>
      <c r="J218" s="50"/>
    </row>
    <row r="220" spans="2:10" ht="15">
      <c r="B220" s="21" t="s">
        <v>205</v>
      </c>
      <c r="E220" s="30">
        <f>Input!E109</f>
        <v>400</v>
      </c>
      <c r="G220" s="21" t="s">
        <v>163</v>
      </c>
      <c r="J220" s="50"/>
    </row>
    <row r="221" spans="4:10" ht="15">
      <c r="D221" s="45" t="s">
        <v>115</v>
      </c>
      <c r="E221" s="72">
        <f>Input!E109*(Input!F109/100)</f>
        <v>80</v>
      </c>
      <c r="F221" s="31"/>
      <c r="G221" s="31" t="s">
        <v>164</v>
      </c>
      <c r="J221" s="50"/>
    </row>
    <row r="222" spans="4:10" ht="15">
      <c r="D222" s="45" t="s">
        <v>30</v>
      </c>
      <c r="E222" s="30">
        <f>E220-E221</f>
        <v>320</v>
      </c>
      <c r="G222" s="21" t="s">
        <v>165</v>
      </c>
      <c r="J222" s="50"/>
    </row>
    <row r="223" spans="4:10" ht="15">
      <c r="D223" s="45" t="s">
        <v>142</v>
      </c>
      <c r="E223" s="79">
        <f>Input!G109</f>
        <v>12</v>
      </c>
      <c r="G223" s="21" t="s">
        <v>129</v>
      </c>
      <c r="J223" s="50"/>
    </row>
    <row r="224" spans="4:10" ht="15">
      <c r="D224" s="45" t="s">
        <v>142</v>
      </c>
      <c r="E224" s="31">
        <f>Input!$F$4</f>
        <v>30</v>
      </c>
      <c r="F224" s="31"/>
      <c r="G224" s="31" t="s">
        <v>147</v>
      </c>
      <c r="J224" s="50"/>
    </row>
    <row r="225" spans="4:10" ht="15">
      <c r="D225" s="45" t="s">
        <v>30</v>
      </c>
      <c r="E225" s="25">
        <f>ROUND(((E222)/E223)/E224,2)</f>
        <v>0.89</v>
      </c>
      <c r="G225" s="21" t="s">
        <v>137</v>
      </c>
      <c r="J225" s="50"/>
    </row>
    <row r="227" spans="3:10" ht="15.75">
      <c r="C227" s="4" t="s">
        <v>143</v>
      </c>
      <c r="E227" s="29">
        <f>ROUND(E218+E225,2)</f>
        <v>14.89</v>
      </c>
      <c r="G227" s="21" t="s">
        <v>137</v>
      </c>
      <c r="J227" s="50"/>
    </row>
    <row r="229" ht="15.75">
      <c r="B229" s="43" t="s">
        <v>131</v>
      </c>
    </row>
    <row r="230" spans="5:10" ht="15">
      <c r="E230" s="30">
        <f>Input!E113</f>
        <v>24000</v>
      </c>
      <c r="G230" s="21" t="s">
        <v>163</v>
      </c>
      <c r="J230" s="50"/>
    </row>
    <row r="231" spans="4:10" ht="15">
      <c r="D231" s="45" t="s">
        <v>115</v>
      </c>
      <c r="E231" s="30">
        <f>Input!E113*(Input!F113/100)</f>
        <v>2400</v>
      </c>
      <c r="G231" s="21" t="s">
        <v>164</v>
      </c>
      <c r="J231" s="50"/>
    </row>
    <row r="232" spans="4:10" ht="15">
      <c r="D232" s="45" t="s">
        <v>142</v>
      </c>
      <c r="E232" s="21">
        <f>Input!G113</f>
        <v>20</v>
      </c>
      <c r="G232" s="21" t="s">
        <v>129</v>
      </c>
      <c r="J232" s="50"/>
    </row>
    <row r="233" spans="4:10" ht="15">
      <c r="D233" s="45" t="s">
        <v>142</v>
      </c>
      <c r="E233" s="31">
        <f>Input!$F$4</f>
        <v>30</v>
      </c>
      <c r="F233" s="31"/>
      <c r="G233" s="31" t="s">
        <v>147</v>
      </c>
      <c r="J233" s="50"/>
    </row>
    <row r="234" spans="4:10" ht="15.75">
      <c r="D234" s="45" t="s">
        <v>30</v>
      </c>
      <c r="E234" s="29">
        <f>ROUND(((E230-E231)/E232)/E233,2)</f>
        <v>36</v>
      </c>
      <c r="G234" s="21" t="s">
        <v>137</v>
      </c>
      <c r="J234" s="50"/>
    </row>
    <row r="236" ht="15.75">
      <c r="B236" s="43" t="s">
        <v>132</v>
      </c>
    </row>
    <row r="237" spans="5:9" ht="15">
      <c r="E237" s="81" t="s">
        <v>156</v>
      </c>
      <c r="F237" s="82"/>
      <c r="G237" s="82"/>
      <c r="H237" s="82"/>
      <c r="I237" s="82"/>
    </row>
    <row r="238" spans="5:9" ht="15">
      <c r="E238" s="82"/>
      <c r="F238" s="82">
        <v>2</v>
      </c>
      <c r="G238" s="82"/>
      <c r="H238" s="82"/>
      <c r="I238" s="82"/>
    </row>
    <row r="240" ht="15.75">
      <c r="B240" s="43" t="s">
        <v>133</v>
      </c>
    </row>
    <row r="241" spans="5:10" ht="15">
      <c r="E241" s="30">
        <f>E207</f>
        <v>19900</v>
      </c>
      <c r="G241" s="21" t="s">
        <v>163</v>
      </c>
      <c r="J241" s="50"/>
    </row>
    <row r="242" spans="4:10" ht="15">
      <c r="D242" s="45" t="s">
        <v>76</v>
      </c>
      <c r="E242" s="30">
        <f>E208</f>
        <v>1990</v>
      </c>
      <c r="G242" s="21" t="s">
        <v>164</v>
      </c>
      <c r="J242" s="50"/>
    </row>
    <row r="243" spans="4:10" ht="15">
      <c r="D243" s="45" t="s">
        <v>142</v>
      </c>
      <c r="E243" s="21">
        <v>2</v>
      </c>
      <c r="G243" s="21" t="s">
        <v>135</v>
      </c>
      <c r="J243" s="50"/>
    </row>
    <row r="244" spans="4:10" ht="15">
      <c r="D244" s="45" t="s">
        <v>23</v>
      </c>
      <c r="E244" s="27">
        <f>Input!F71</f>
        <v>4</v>
      </c>
      <c r="G244" s="21" t="s">
        <v>259</v>
      </c>
      <c r="J244" s="50"/>
    </row>
    <row r="245" spans="4:10" ht="15">
      <c r="D245" s="45" t="s">
        <v>142</v>
      </c>
      <c r="E245" s="31">
        <f>Input!$F$4</f>
        <v>30</v>
      </c>
      <c r="F245" s="31"/>
      <c r="G245" s="31" t="s">
        <v>147</v>
      </c>
      <c r="J245" s="50"/>
    </row>
    <row r="246" spans="4:10" ht="15.75">
      <c r="D246" s="45" t="s">
        <v>30</v>
      </c>
      <c r="E246" s="29">
        <f>ROUND(((E241+E242)/E243*(E244/100))/E245,2)</f>
        <v>14.59</v>
      </c>
      <c r="G246" s="21" t="s">
        <v>137</v>
      </c>
      <c r="J246" s="50"/>
    </row>
    <row r="248" ht="15.75">
      <c r="B248" s="43" t="s">
        <v>134</v>
      </c>
    </row>
    <row r="249" spans="2:10" ht="15">
      <c r="B249" s="21" t="s">
        <v>253</v>
      </c>
      <c r="E249" s="30">
        <f>Input!E107+Input!E108</f>
        <v>6000</v>
      </c>
      <c r="G249" s="21" t="s">
        <v>163</v>
      </c>
      <c r="J249" s="50"/>
    </row>
    <row r="250" spans="4:10" ht="15">
      <c r="D250" s="45" t="s">
        <v>76</v>
      </c>
      <c r="E250" s="77">
        <f>E249*Input!F107/100</f>
        <v>1800</v>
      </c>
      <c r="F250" s="78"/>
      <c r="G250" s="78" t="s">
        <v>164</v>
      </c>
      <c r="H250" s="5"/>
      <c r="J250" s="50"/>
    </row>
    <row r="251" spans="4:10" ht="15">
      <c r="D251" s="45" t="s">
        <v>142</v>
      </c>
      <c r="E251" s="21">
        <v>2</v>
      </c>
      <c r="G251" s="21" t="s">
        <v>135</v>
      </c>
      <c r="J251" s="50"/>
    </row>
    <row r="252" spans="4:10" ht="15">
      <c r="D252" s="45" t="s">
        <v>23</v>
      </c>
      <c r="E252" s="27">
        <f>Input!F71</f>
        <v>4</v>
      </c>
      <c r="G252" s="21" t="s">
        <v>259</v>
      </c>
      <c r="J252" s="50"/>
    </row>
    <row r="253" spans="4:10" ht="15">
      <c r="D253" s="45" t="s">
        <v>142</v>
      </c>
      <c r="E253" s="31">
        <f>Input!$F$4</f>
        <v>30</v>
      </c>
      <c r="F253" s="31"/>
      <c r="G253" s="31" t="s">
        <v>147</v>
      </c>
      <c r="J253" s="50"/>
    </row>
    <row r="254" spans="4:10" ht="15">
      <c r="D254" s="45" t="s">
        <v>30</v>
      </c>
      <c r="E254" s="25">
        <f>ROUND((((E249+E250)/E251)*E252/100)/E253,2)</f>
        <v>5.2</v>
      </c>
      <c r="G254" s="21" t="s">
        <v>137</v>
      </c>
      <c r="J254" s="50"/>
    </row>
    <row r="256" spans="2:10" ht="15">
      <c r="B256" s="21" t="s">
        <v>206</v>
      </c>
      <c r="E256" s="30">
        <f>Input!E109</f>
        <v>400</v>
      </c>
      <c r="G256" s="21" t="s">
        <v>163</v>
      </c>
      <c r="J256" s="50"/>
    </row>
    <row r="257" spans="4:10" ht="15">
      <c r="D257" s="45" t="s">
        <v>76</v>
      </c>
      <c r="E257" s="77">
        <f>Input!E109*(Input!F109/100)</f>
        <v>80</v>
      </c>
      <c r="F257" s="78"/>
      <c r="G257" s="78" t="s">
        <v>164</v>
      </c>
      <c r="J257" s="50"/>
    </row>
    <row r="258" spans="4:10" ht="15">
      <c r="D258" s="45" t="s">
        <v>142</v>
      </c>
      <c r="E258" s="21">
        <v>2</v>
      </c>
      <c r="G258" s="21" t="s">
        <v>135</v>
      </c>
      <c r="J258" s="50"/>
    </row>
    <row r="259" spans="4:10" ht="15">
      <c r="D259" s="45" t="s">
        <v>23</v>
      </c>
      <c r="E259" s="27">
        <f>Input!F71</f>
        <v>4</v>
      </c>
      <c r="G259" s="21" t="s">
        <v>259</v>
      </c>
      <c r="J259" s="50"/>
    </row>
    <row r="260" spans="4:10" ht="15">
      <c r="D260" s="45" t="s">
        <v>142</v>
      </c>
      <c r="E260" s="31">
        <f>Input!$F$4</f>
        <v>30</v>
      </c>
      <c r="F260" s="31"/>
      <c r="G260" s="31" t="s">
        <v>147</v>
      </c>
      <c r="J260" s="50"/>
    </row>
    <row r="261" spans="4:10" ht="15">
      <c r="D261" s="45" t="s">
        <v>30</v>
      </c>
      <c r="E261" s="25">
        <f>ROUND((((E256+E257)/E258)*E259/100)/E260,2)</f>
        <v>0.32</v>
      </c>
      <c r="G261" s="21" t="s">
        <v>137</v>
      </c>
      <c r="J261" s="50"/>
    </row>
    <row r="262" ht="15">
      <c r="G262" s="21" t="s">
        <v>1</v>
      </c>
    </row>
    <row r="263" spans="3:10" ht="15.75">
      <c r="C263" s="21" t="s">
        <v>143</v>
      </c>
      <c r="E263" s="29">
        <f>E261+E254</f>
        <v>5.5200000000000005</v>
      </c>
      <c r="G263" s="21" t="s">
        <v>137</v>
      </c>
      <c r="J263" s="50"/>
    </row>
    <row r="265" ht="15.75">
      <c r="B265" s="43" t="s">
        <v>136</v>
      </c>
    </row>
    <row r="266" spans="2:10" ht="15">
      <c r="B266" s="21" t="s">
        <v>207</v>
      </c>
      <c r="E266" s="30">
        <f>Input!F6</f>
        <v>600</v>
      </c>
      <c r="G266" s="21" t="s">
        <v>137</v>
      </c>
      <c r="J266" s="50"/>
    </row>
    <row r="267" spans="4:10" ht="15">
      <c r="D267" s="45" t="s">
        <v>23</v>
      </c>
      <c r="E267" s="71">
        <f>Input!F71</f>
        <v>4</v>
      </c>
      <c r="F267" s="31"/>
      <c r="G267" s="31" t="s">
        <v>259</v>
      </c>
      <c r="H267" s="31"/>
      <c r="J267" s="50"/>
    </row>
    <row r="268" spans="4:10" ht="15">
      <c r="D268" s="45" t="s">
        <v>30</v>
      </c>
      <c r="E268" s="25">
        <f>ROUND(E266*(E267/100),2)</f>
        <v>24</v>
      </c>
      <c r="G268" s="21" t="s">
        <v>137</v>
      </c>
      <c r="J268" s="50"/>
    </row>
    <row r="270" spans="2:10" ht="15">
      <c r="B270" s="21" t="s">
        <v>200</v>
      </c>
      <c r="E270" s="30">
        <f>Input!F7</f>
        <v>2000</v>
      </c>
      <c r="G270" s="21" t="s">
        <v>138</v>
      </c>
      <c r="J270" s="50"/>
    </row>
    <row r="271" spans="4:10" ht="15">
      <c r="D271" s="45" t="s">
        <v>23</v>
      </c>
      <c r="E271" s="65">
        <f>Input!F5</f>
        <v>2</v>
      </c>
      <c r="G271" s="21" t="s">
        <v>254</v>
      </c>
      <c r="J271" s="50"/>
    </row>
    <row r="272" spans="4:10" ht="15">
      <c r="D272" s="45" t="s">
        <v>142</v>
      </c>
      <c r="E272" s="31">
        <f>Input!F4</f>
        <v>30</v>
      </c>
      <c r="G272" s="31" t="s">
        <v>147</v>
      </c>
      <c r="J272" s="50"/>
    </row>
    <row r="273" spans="4:10" ht="15">
      <c r="D273" s="45" t="s">
        <v>30</v>
      </c>
      <c r="E273" s="30">
        <f>(E270*E271)/E272</f>
        <v>133.33333333333334</v>
      </c>
      <c r="G273" s="21" t="s">
        <v>137</v>
      </c>
      <c r="J273" s="50"/>
    </row>
    <row r="274" spans="4:10" ht="15">
      <c r="D274" s="45" t="s">
        <v>23</v>
      </c>
      <c r="E274" s="83">
        <f>Input!F71</f>
        <v>4</v>
      </c>
      <c r="F274" s="31"/>
      <c r="G274" s="31" t="s">
        <v>259</v>
      </c>
      <c r="J274" s="50"/>
    </row>
    <row r="275" spans="4:10" ht="15">
      <c r="D275" s="45" t="s">
        <v>30</v>
      </c>
      <c r="E275" s="25">
        <f>ROUND(E273*(E274/100),2)</f>
        <v>5.33</v>
      </c>
      <c r="G275" s="21" t="s">
        <v>137</v>
      </c>
      <c r="J275" s="50"/>
    </row>
    <row r="277" spans="3:10" ht="15.75">
      <c r="C277" s="21" t="s">
        <v>143</v>
      </c>
      <c r="E277" s="29">
        <f>E268+E275</f>
        <v>29.33</v>
      </c>
      <c r="G277" s="21" t="s">
        <v>137</v>
      </c>
      <c r="J277" s="50"/>
    </row>
    <row r="279" ht="15.75">
      <c r="B279" s="43" t="s">
        <v>139</v>
      </c>
    </row>
    <row r="280" spans="2:10" ht="15">
      <c r="B280" s="21" t="s">
        <v>208</v>
      </c>
      <c r="E280" s="30">
        <f>Input!E113</f>
        <v>24000</v>
      </c>
      <c r="G280" s="21" t="s">
        <v>163</v>
      </c>
      <c r="J280" s="50"/>
    </row>
    <row r="281" spans="4:10" ht="15">
      <c r="D281" s="45" t="s">
        <v>76</v>
      </c>
      <c r="E281" s="84">
        <f>Input!E113*(Input!F113/100)</f>
        <v>2400</v>
      </c>
      <c r="F281" s="78"/>
      <c r="G281" s="78" t="s">
        <v>164</v>
      </c>
      <c r="J281" s="50"/>
    </row>
    <row r="282" spans="4:10" ht="15">
      <c r="D282" s="45" t="s">
        <v>142</v>
      </c>
      <c r="E282" s="21">
        <v>2</v>
      </c>
      <c r="G282" s="21" t="s">
        <v>135</v>
      </c>
      <c r="J282" s="50"/>
    </row>
    <row r="283" spans="4:10" ht="15">
      <c r="D283" s="45" t="s">
        <v>23</v>
      </c>
      <c r="E283" s="27">
        <f>Input!F71</f>
        <v>4</v>
      </c>
      <c r="G283" s="21" t="s">
        <v>259</v>
      </c>
      <c r="J283" s="50"/>
    </row>
    <row r="284" spans="4:10" ht="15">
      <c r="D284" s="45" t="s">
        <v>142</v>
      </c>
      <c r="E284" s="31">
        <f>Input!F4</f>
        <v>30</v>
      </c>
      <c r="F284" s="31"/>
      <c r="G284" s="31" t="s">
        <v>147</v>
      </c>
      <c r="J284" s="50"/>
    </row>
    <row r="285" spans="4:10" ht="15">
      <c r="D285" s="45" t="s">
        <v>30</v>
      </c>
      <c r="E285" s="25">
        <f>(((E280+E281)/E282)*E283/100)/E284</f>
        <v>17.6</v>
      </c>
      <c r="G285" s="21" t="s">
        <v>137</v>
      </c>
      <c r="J285" s="50"/>
    </row>
    <row r="287" spans="2:10" ht="15">
      <c r="B287" s="21" t="s">
        <v>209</v>
      </c>
      <c r="E287" s="30">
        <f>Input!E114</f>
        <v>18000</v>
      </c>
      <c r="G287" s="21" t="s">
        <v>163</v>
      </c>
      <c r="J287" s="50"/>
    </row>
    <row r="288" spans="4:10" ht="15">
      <c r="D288" s="45" t="s">
        <v>23</v>
      </c>
      <c r="E288" s="27">
        <f>Input!F71</f>
        <v>4</v>
      </c>
      <c r="G288" s="21" t="s">
        <v>259</v>
      </c>
      <c r="J288" s="50"/>
    </row>
    <row r="289" spans="4:10" ht="15">
      <c r="D289" s="45" t="s">
        <v>142</v>
      </c>
      <c r="E289" s="31">
        <f>Input!F4</f>
        <v>30</v>
      </c>
      <c r="F289" s="31"/>
      <c r="G289" s="31" t="s">
        <v>147</v>
      </c>
      <c r="J289" s="50"/>
    </row>
    <row r="290" spans="4:10" ht="15">
      <c r="D290" s="45" t="s">
        <v>30</v>
      </c>
      <c r="E290" s="25">
        <f>ROUND((E287*E288/100)/E289,2)</f>
        <v>24</v>
      </c>
      <c r="G290" s="21" t="s">
        <v>137</v>
      </c>
      <c r="J290" s="50"/>
    </row>
    <row r="292" spans="3:10" ht="15.75">
      <c r="C292" s="21" t="s">
        <v>143</v>
      </c>
      <c r="E292" s="29">
        <f>E285+E290</f>
        <v>41.6</v>
      </c>
      <c r="G292" s="21" t="s">
        <v>137</v>
      </c>
      <c r="J292" s="50"/>
    </row>
    <row r="294" ht="15.75">
      <c r="B294" s="43" t="s">
        <v>59</v>
      </c>
    </row>
    <row r="295" spans="5:10" ht="15">
      <c r="E295" s="21">
        <f>Input!G125</f>
        <v>15</v>
      </c>
      <c r="G295" s="21" t="s">
        <v>166</v>
      </c>
      <c r="J295" s="50"/>
    </row>
    <row r="296" spans="4:10" ht="15">
      <c r="D296" s="74" t="s">
        <v>23</v>
      </c>
      <c r="E296" s="64">
        <f>Input!G126</f>
        <v>10</v>
      </c>
      <c r="F296" s="31"/>
      <c r="G296" s="31" t="s">
        <v>167</v>
      </c>
      <c r="H296" s="31"/>
      <c r="J296" s="50"/>
    </row>
    <row r="297" spans="4:10" ht="15.75">
      <c r="D297" s="75" t="s">
        <v>30</v>
      </c>
      <c r="E297" s="29">
        <f>E295*E296</f>
        <v>150</v>
      </c>
      <c r="F297" s="28"/>
      <c r="G297" s="21" t="s">
        <v>137</v>
      </c>
      <c r="J297" s="50"/>
    </row>
    <row r="299" ht="15.75">
      <c r="B299" s="4" t="s">
        <v>157</v>
      </c>
    </row>
    <row r="301" ht="15">
      <c r="B301" s="21" t="s">
        <v>158</v>
      </c>
    </row>
    <row r="302" spans="2:7" ht="15">
      <c r="B302" s="21" t="s">
        <v>159</v>
      </c>
      <c r="G302" s="21" t="s">
        <v>219</v>
      </c>
    </row>
    <row r="303" spans="2:7" ht="15">
      <c r="B303" s="21" t="s">
        <v>160</v>
      </c>
      <c r="G303" s="21" t="s">
        <v>220</v>
      </c>
    </row>
    <row r="305" ht="15">
      <c r="B305" s="21" t="s">
        <v>161</v>
      </c>
    </row>
    <row r="306" ht="15">
      <c r="B306" s="21" t="s">
        <v>162</v>
      </c>
    </row>
  </sheetData>
  <sheetProtection password="C7C6" sheet="1" objects="1" scenarios="1"/>
  <mergeCells count="7">
    <mergeCell ref="B175:J175"/>
    <mergeCell ref="E203:H203"/>
    <mergeCell ref="E204:H204"/>
    <mergeCell ref="B2:J2"/>
    <mergeCell ref="B4:J4"/>
    <mergeCell ref="B6:J7"/>
    <mergeCell ref="B13:J14"/>
  </mergeCells>
  <printOptions/>
  <pageMargins left="0.75" right="0.75" top="1" bottom="1" header="0.5" footer="0.5"/>
  <pageSetup firstPageNumber="3" useFirstPageNumber="1" horizontalDpi="300" verticalDpi="300" orientation="portrait" r:id="rId1"/>
  <headerFooter alignWithMargins="0">
    <oddHeader>&amp;LElk Cow Calf Costs</oddHeader>
    <oddFooter>&amp;C&amp;P&amp;R&amp;10Manitoba Agriculture and Food
&amp;"Arial,Italic"Farm Management</oddFooter>
  </headerFooter>
  <rowBreaks count="5" manualBreakCount="5">
    <brk id="37" max="255" man="1"/>
    <brk id="115" max="255" man="1"/>
    <brk id="172" max="255" man="1"/>
    <brk id="247" max="255" man="1"/>
    <brk id="27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Peter Blawat, P.Ag.</Manager>
  <Company>Manitoba Agriculture, Food and Rural Initiatives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Guidelines for Estimating Elk Cow-Calf Production Costs</dc:title>
  <dc:subject>Elk Cow-Calf Production Costs</dc:subject>
  <dc:creator>MAFRI Staff</dc:creator>
  <cp:keywords>Elk, Cow-Calf, Cost of Production, Economics</cp:keywords>
  <dc:description>A worksheet for calculating on-farm production costs for individual farms.</dc:description>
  <cp:lastModifiedBy>JGessner</cp:lastModifiedBy>
  <cp:lastPrinted>2003-12-03T20:37:34Z</cp:lastPrinted>
  <dcterms:created xsi:type="dcterms:W3CDTF">2000-02-09T15:02:25Z</dcterms:created>
  <dcterms:modified xsi:type="dcterms:W3CDTF">2008-07-11T13:28:01Z</dcterms:modified>
  <cp:category>Other Livestock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