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76" windowWidth="8970" windowHeight="4575" tabRatio="780" activeTab="0"/>
  </bookViews>
  <sheets>
    <sheet name="Introduction" sheetId="1" r:id="rId1"/>
    <sheet name=" Summary" sheetId="2" r:id="rId2"/>
    <sheet name="Input" sheetId="3" r:id="rId3"/>
    <sheet name="Establish" sheetId="4" r:id="rId4"/>
    <sheet name="Establish Details" sheetId="5" r:id="rId5"/>
    <sheet name="Picking" sheetId="6" r:id="rId6"/>
    <sheet name="Picking Details" sheetId="7" r:id="rId7"/>
  </sheet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L">#REF!</definedName>
    <definedName name="\N">#REF!</definedName>
    <definedName name="\O">#REF!</definedName>
    <definedName name="\R">#REF!</definedName>
    <definedName name="\S">#REF!</definedName>
    <definedName name="\T">#REF!</definedName>
    <definedName name="\U">#REF!</definedName>
    <definedName name="\W">#REF!</definedName>
    <definedName name="\Y">#REF!</definedName>
    <definedName name="_xlnm.Print_Area" localSheetId="3">'Establish'!$A$1:$G$81</definedName>
    <definedName name="_xlnm.Print_Area" localSheetId="4">'Establish Details'!$A$1:$I$209</definedName>
    <definedName name="_xlnm.Print_Area" localSheetId="2">'Input'!$A$1:$F$47</definedName>
    <definedName name="_xlnm.Print_Area" localSheetId="0">'Introduction'!$A$1:$H$73</definedName>
    <definedName name="_xlnm.Print_Area" localSheetId="5">'Picking'!$A$1:$G$74</definedName>
    <definedName name="_xlnm.Print_Area" localSheetId="6">'Picking Details'!$A$1:$I$162</definedName>
    <definedName name="_xlnm.Print_Titles" localSheetId="4">'Establish Details'!$4:$4</definedName>
    <definedName name="_xlnm.Print_Titles" localSheetId="6">'Picking Details'!$5:$5</definedName>
    <definedName name="Z_1369C119_2E5F_4833_9100_21F0C956FC58_.wvu.PrintArea" localSheetId="3" hidden="1">'Establish'!$A$1:$G$81</definedName>
    <definedName name="Z_1369C119_2E5F_4833_9100_21F0C956FC58_.wvu.PrintArea" localSheetId="4" hidden="1">'Establish Details'!$A$1:$I$209</definedName>
    <definedName name="Z_1369C119_2E5F_4833_9100_21F0C956FC58_.wvu.PrintArea" localSheetId="2" hidden="1">'Input'!$A$1:$F$47</definedName>
    <definedName name="Z_1369C119_2E5F_4833_9100_21F0C956FC58_.wvu.PrintArea" localSheetId="0" hidden="1">'Introduction'!$A$1:$H$73</definedName>
    <definedName name="Z_1369C119_2E5F_4833_9100_21F0C956FC58_.wvu.PrintArea" localSheetId="5" hidden="1">'Picking'!$A$1:$G$74</definedName>
    <definedName name="Z_1369C119_2E5F_4833_9100_21F0C956FC58_.wvu.PrintArea" localSheetId="6" hidden="1">'Picking Details'!$A$1:$I$163</definedName>
    <definedName name="Z_1369C119_2E5F_4833_9100_21F0C956FC58_.wvu.PrintTitles" localSheetId="4" hidden="1">'Establish Details'!$4:$4</definedName>
    <definedName name="Z_1369C119_2E5F_4833_9100_21F0C956FC58_.wvu.PrintTitles" localSheetId="6" hidden="1">'Picking Details'!$5:$5</definedName>
    <definedName name="Z_6E930F6D_F725_11D2_92B5_0004ACD86FC2_.wvu.PrintArea" localSheetId="0" hidden="1">'Introduction'!$A$1:$B$25</definedName>
    <definedName name="Z_93384935_6E76_46B0_A1F7_1CC33D10C253_.wvu.PrintArea" localSheetId="3" hidden="1">'Establish'!$A$1:$G$81</definedName>
    <definedName name="Z_93384935_6E76_46B0_A1F7_1CC33D10C253_.wvu.PrintArea" localSheetId="4" hidden="1">'Establish Details'!$A$1:$I$209</definedName>
    <definedName name="Z_93384935_6E76_46B0_A1F7_1CC33D10C253_.wvu.PrintArea" localSheetId="2" hidden="1">'Input'!$A$1:$F$47</definedName>
    <definedName name="Z_93384935_6E76_46B0_A1F7_1CC33D10C253_.wvu.PrintArea" localSheetId="0" hidden="1">'Introduction'!$A$1:$H$73</definedName>
    <definedName name="Z_93384935_6E76_46B0_A1F7_1CC33D10C253_.wvu.PrintArea" localSheetId="5" hidden="1">'Picking'!$A$1:$G$74</definedName>
    <definedName name="Z_93384935_6E76_46B0_A1F7_1CC33D10C253_.wvu.PrintArea" localSheetId="6" hidden="1">'Picking Details'!$A$1:$I$163</definedName>
    <definedName name="Z_93384935_6E76_46B0_A1F7_1CC33D10C253_.wvu.PrintTitles" localSheetId="4" hidden="1">'Establish Details'!$4:$4</definedName>
    <definedName name="Z_93384935_6E76_46B0_A1F7_1CC33D10C253_.wvu.PrintTitles" localSheetId="6" hidden="1">'Picking Details'!$5:$5</definedName>
  </definedNames>
  <calcPr fullCalcOnLoad="1"/>
</workbook>
</file>

<file path=xl/comments3.xml><?xml version="1.0" encoding="utf-8"?>
<comments xmlns="http://schemas.openxmlformats.org/spreadsheetml/2006/main">
  <authors>
    <author>Government of Manitoba</author>
  </authors>
  <commentList>
    <comment ref="C27" authorId="0">
      <text>
        <r>
          <rPr>
            <sz val="9"/>
            <rFont val="Tahoma"/>
            <family val="2"/>
          </rPr>
          <t xml:space="preserve">Used for straw spreading and irrigation.
</t>
        </r>
      </text>
    </comment>
    <comment ref="B41" authorId="0">
      <text>
        <r>
          <rPr>
            <b/>
            <sz val="9"/>
            <rFont val="Tahoma"/>
            <family val="2"/>
          </rPr>
          <t xml:space="preserve">Truck 
</t>
        </r>
        <r>
          <rPr>
            <sz val="9"/>
            <rFont val="Tahoma"/>
            <family val="2"/>
          </rPr>
          <t xml:space="preserve">
</t>
        </r>
      </text>
    </comment>
  </commentList>
</comments>
</file>

<file path=xl/comments4.xml><?xml version="1.0" encoding="utf-8"?>
<comments xmlns="http://schemas.openxmlformats.org/spreadsheetml/2006/main">
  <authors>
    <author>Lynn Hamilton</author>
    <author>amintenko</author>
  </authors>
  <commentList>
    <comment ref="E25" authorId="0">
      <text>
        <r>
          <rPr>
            <sz val="9"/>
            <rFont val="Tahoma"/>
            <family val="2"/>
          </rPr>
          <t xml:space="preserve">Spot Spray
</t>
        </r>
      </text>
    </comment>
    <comment ref="F11" authorId="1">
      <text>
        <r>
          <rPr>
            <sz val="9"/>
            <rFont val="Tahoma"/>
            <family val="2"/>
          </rPr>
          <t xml:space="preserve">Prairie Fruit Growers Association member plant discount price 2012
</t>
        </r>
      </text>
    </comment>
  </commentList>
</comments>
</file>

<file path=xl/comments6.xml><?xml version="1.0" encoding="utf-8"?>
<comments xmlns="http://schemas.openxmlformats.org/spreadsheetml/2006/main">
  <authors>
    <author>Roy Arnott</author>
  </authors>
  <commentList>
    <comment ref="F58" authorId="0">
      <text>
        <r>
          <rPr>
            <sz val="9"/>
            <rFont val="Tahoma"/>
            <family val="2"/>
          </rPr>
          <t xml:space="preserve">5 lbs. Berries per 4L basket or pail.
</t>
        </r>
      </text>
    </comment>
  </commentList>
</comments>
</file>

<file path=xl/sharedStrings.xml><?xml version="1.0" encoding="utf-8"?>
<sst xmlns="http://schemas.openxmlformats.org/spreadsheetml/2006/main" count="807" uniqueCount="345">
  <si>
    <t xml:space="preserve"> </t>
  </si>
  <si>
    <t>lbs/acre</t>
  </si>
  <si>
    <t xml:space="preserve">1.02 Fertilizer </t>
  </si>
  <si>
    <t>Fertilizer</t>
  </si>
  <si>
    <t>Nitrogen</t>
  </si>
  <si>
    <t>Phosphate</t>
  </si>
  <si>
    <t>Potash</t>
  </si>
  <si>
    <t>Sulfur</t>
  </si>
  <si>
    <t>Zinc</t>
  </si>
  <si>
    <t>Times</t>
  </si>
  <si>
    <t>Width</t>
  </si>
  <si>
    <t>Speed</t>
  </si>
  <si>
    <t>Tractor</t>
  </si>
  <si>
    <t>Operation</t>
  </si>
  <si>
    <t>Over</t>
  </si>
  <si>
    <t>Feet</t>
  </si>
  <si>
    <t>MPH</t>
  </si>
  <si>
    <t>HP</t>
  </si>
  <si>
    <t>Cultivate</t>
  </si>
  <si>
    <t>Spray</t>
  </si>
  <si>
    <t>Useful</t>
  </si>
  <si>
    <t>Salvage</t>
  </si>
  <si>
    <t>Capital Costs</t>
  </si>
  <si>
    <t>Life</t>
  </si>
  <si>
    <t>Value</t>
  </si>
  <si>
    <t>Labour Costs ($/acre)</t>
  </si>
  <si>
    <t>Machinery Costs</t>
  </si>
  <si>
    <t>1.02 Fertilizer</t>
  </si>
  <si>
    <t>Subtotal Operating</t>
  </si>
  <si>
    <t>Total Operating Costs</t>
  </si>
  <si>
    <t>2.01 Machinery</t>
  </si>
  <si>
    <t>2.02 Storage</t>
  </si>
  <si>
    <t>3.01 Land</t>
  </si>
  <si>
    <t>3.02 Machinery</t>
  </si>
  <si>
    <t>Total Fixed Costs</t>
  </si>
  <si>
    <t>A. Operating Costs</t>
  </si>
  <si>
    <t>x</t>
  </si>
  <si>
    <t>=</t>
  </si>
  <si>
    <t xml:space="preserve">     Nitrogen</t>
  </si>
  <si>
    <t xml:space="preserve">     Sulfur</t>
  </si>
  <si>
    <t>+</t>
  </si>
  <si>
    <t>TIME</t>
  </si>
  <si>
    <t>MAINT</t>
  </si>
  <si>
    <t>&amp; LUB</t>
  </si>
  <si>
    <t>÷</t>
  </si>
  <si>
    <t>B. Fixed Costs</t>
  </si>
  <si>
    <t>-</t>
  </si>
  <si>
    <t>3.03 Storage</t>
  </si>
  <si>
    <t>feet</t>
  </si>
  <si>
    <t>mph</t>
  </si>
  <si>
    <t>Fuel</t>
  </si>
  <si>
    <t>$/ac.</t>
  </si>
  <si>
    <t>Rate per hour</t>
  </si>
  <si>
    <t>Prepared by:</t>
  </si>
  <si>
    <t>percentage rate</t>
  </si>
  <si>
    <t>investment/acre</t>
  </si>
  <si>
    <t>$/hour</t>
  </si>
  <si>
    <t>3. Investment</t>
  </si>
  <si>
    <t>2. Depreciation</t>
  </si>
  <si>
    <t>$ /acre</t>
  </si>
  <si>
    <t>average</t>
  </si>
  <si>
    <t>interest rate</t>
  </si>
  <si>
    <t>cost/acre</t>
  </si>
  <si>
    <t>salvage value</t>
  </si>
  <si>
    <t>useful life</t>
  </si>
  <si>
    <t>% investment rate</t>
  </si>
  <si>
    <t>C. Labour</t>
  </si>
  <si>
    <t>Total Cost of Production</t>
  </si>
  <si>
    <t>Interest on Investment</t>
  </si>
  <si>
    <t>Your Cost</t>
  </si>
  <si>
    <t>Total</t>
  </si>
  <si>
    <t>Original Value - Salvage Value</t>
  </si>
  <si>
    <t>$/acre</t>
  </si>
  <si>
    <t>Year</t>
  </si>
  <si>
    <t>1.03 Herbicides</t>
  </si>
  <si>
    <t>lbs/acre seeding</t>
  </si>
  <si>
    <t>cost/lb seeding</t>
  </si>
  <si>
    <t>lbs/acre cropping</t>
  </si>
  <si>
    <t>cost/lb cropping</t>
  </si>
  <si>
    <t>Market</t>
  </si>
  <si>
    <t>Sprayer</t>
  </si>
  <si>
    <t>Storage Shed</t>
  </si>
  <si>
    <t>1.07 Repairs &amp; Maintenance</t>
  </si>
  <si>
    <t>1.09 Miscellaneous</t>
  </si>
  <si>
    <t>broadleaf control (establish)</t>
  </si>
  <si>
    <t>Cost $/lb</t>
  </si>
  <si>
    <t>Cost $/acre</t>
  </si>
  <si>
    <t>Annual Cost</t>
  </si>
  <si>
    <r>
      <t>Original Value + Salvage Value</t>
    </r>
    <r>
      <rPr>
        <b/>
        <sz val="12"/>
        <rFont val="Arial"/>
        <family val="2"/>
      </rPr>
      <t xml:space="preserve">  x  Investment Rate</t>
    </r>
  </si>
  <si>
    <t xml:space="preserve">                                Useful Life</t>
  </si>
  <si>
    <t>acres</t>
  </si>
  <si>
    <t>per acre</t>
  </si>
  <si>
    <t>Applicator rental</t>
  </si>
  <si>
    <t>% rate of investment</t>
  </si>
  <si>
    <t>Allocated %</t>
  </si>
  <si>
    <t xml:space="preserve">     Zinc</t>
  </si>
  <si>
    <r>
      <t xml:space="preserve">     P</t>
    </r>
    <r>
      <rPr>
        <b/>
        <vertAlign val="subscript"/>
        <sz val="12"/>
        <rFont val="Arial"/>
        <family val="2"/>
      </rPr>
      <t>2</t>
    </r>
    <r>
      <rPr>
        <b/>
        <sz val="12"/>
        <rFont val="Arial"/>
        <family val="2"/>
      </rPr>
      <t>O</t>
    </r>
    <r>
      <rPr>
        <b/>
        <vertAlign val="subscript"/>
        <sz val="12"/>
        <rFont val="Arial"/>
        <family val="2"/>
      </rPr>
      <t>5</t>
    </r>
  </si>
  <si>
    <r>
      <t xml:space="preserve">     K</t>
    </r>
    <r>
      <rPr>
        <b/>
        <vertAlign val="subscript"/>
        <sz val="12"/>
        <rFont val="Arial"/>
        <family val="2"/>
      </rPr>
      <t>2</t>
    </r>
    <r>
      <rPr>
        <b/>
        <sz val="12"/>
        <rFont val="Arial"/>
        <family val="2"/>
      </rPr>
      <t>O</t>
    </r>
  </si>
  <si>
    <t>Date:</t>
  </si>
  <si>
    <t>Guidelines For Estimating</t>
  </si>
  <si>
    <t>Strawberry U-Pick</t>
  </si>
  <si>
    <t>Cost /acre</t>
  </si>
  <si>
    <t>Strawberry</t>
  </si>
  <si>
    <t xml:space="preserve">plants/acre </t>
  </si>
  <si>
    <t>Seed</t>
  </si>
  <si>
    <t>Field Operations</t>
  </si>
  <si>
    <t>Labour</t>
  </si>
  <si>
    <t>Herbicides</t>
  </si>
  <si>
    <t>Insecticides</t>
  </si>
  <si>
    <t>Fungicides</t>
  </si>
  <si>
    <t>Weed Control</t>
  </si>
  <si>
    <t>De-blossom</t>
  </si>
  <si>
    <t>30 hp</t>
  </si>
  <si>
    <t>Cooler</t>
  </si>
  <si>
    <t>Booth</t>
  </si>
  <si>
    <t>Irrigation Equipment</t>
  </si>
  <si>
    <t>Irrigation</t>
  </si>
  <si>
    <t>other</t>
  </si>
  <si>
    <t>Pre Plant</t>
  </si>
  <si>
    <t>Plow down</t>
  </si>
  <si>
    <t>Straw removal</t>
  </si>
  <si>
    <t>Straw Spreading</t>
  </si>
  <si>
    <t>Mowing</t>
  </si>
  <si>
    <t>Straw Costs</t>
  </si>
  <si>
    <t>Bales per acre</t>
  </si>
  <si>
    <t>$ per Bale</t>
  </si>
  <si>
    <t>Miscellaneous</t>
  </si>
  <si>
    <t>1st Picking</t>
  </si>
  <si>
    <t>2nd Picking</t>
  </si>
  <si>
    <t>3rd Picking</t>
  </si>
  <si>
    <t>Land Taxes ($/acre)</t>
  </si>
  <si>
    <t>Total Yield (lbs/acre)</t>
  </si>
  <si>
    <t>Average Yield (lbs/acre)</t>
  </si>
  <si>
    <t xml:space="preserve">Pre Plant </t>
  </si>
  <si>
    <t>Planting Year</t>
  </si>
  <si>
    <t>Interest  on Operating</t>
  </si>
  <si>
    <t>Land Value</t>
  </si>
  <si>
    <t>Market Value ($/acre)</t>
  </si>
  <si>
    <t>Land Cost</t>
  </si>
  <si>
    <t>Total Investment</t>
  </si>
  <si>
    <t>1.07 Irrigation Fuel Costs</t>
  </si>
  <si>
    <t>Inches applied</t>
  </si>
  <si>
    <t>Hourly pumping costs</t>
  </si>
  <si>
    <t>1.07 Irrigation Costs</t>
  </si>
  <si>
    <t>Fuel Price (Diesel $/litre)</t>
  </si>
  <si>
    <t>Capacity</t>
  </si>
  <si>
    <t>Ac/Hr</t>
  </si>
  <si>
    <t>Hr./Ac.</t>
  </si>
  <si>
    <t>Plants</t>
  </si>
  <si>
    <t>1.01 Seed &amp; Plants</t>
  </si>
  <si>
    <t xml:space="preserve">1.01 Seed &amp; Plants </t>
  </si>
  <si>
    <r>
      <t>Establishment</t>
    </r>
    <r>
      <rPr>
        <b/>
        <vertAlign val="superscript"/>
        <sz val="12"/>
        <rFont val="Arial"/>
        <family val="2"/>
      </rPr>
      <t>1</t>
    </r>
  </si>
  <si>
    <t>Cover Crop</t>
  </si>
  <si>
    <t>Total Cost</t>
  </si>
  <si>
    <t>Seed and Plant Costs</t>
  </si>
  <si>
    <t>Pre Plant Crop</t>
  </si>
  <si>
    <t>Strawberry Plants</t>
  </si>
  <si>
    <t>Planting</t>
  </si>
  <si>
    <t xml:space="preserve">    Cost $/lb</t>
  </si>
  <si>
    <t xml:space="preserve">    lbs/acre</t>
  </si>
  <si>
    <t xml:space="preserve">    Pre plant</t>
  </si>
  <si>
    <t xml:space="preserve">    Planting</t>
  </si>
  <si>
    <t xml:space="preserve">Broadleaf </t>
  </si>
  <si>
    <t>Other</t>
  </si>
  <si>
    <t>-------------------$/acre--------------------</t>
  </si>
  <si>
    <t xml:space="preserve">    Pre Plant</t>
  </si>
  <si>
    <t>Insect 1</t>
  </si>
  <si>
    <t>Insect 2</t>
  </si>
  <si>
    <t>Insect 3</t>
  </si>
  <si>
    <t>Spray 1</t>
  </si>
  <si>
    <t>Spray 2</t>
  </si>
  <si>
    <t>Spray 3</t>
  </si>
  <si>
    <t>Field Operations: Pre Plant</t>
  </si>
  <si>
    <t>Field Operations: Planting</t>
  </si>
  <si>
    <t>Irrigation Fuel Costs</t>
  </si>
  <si>
    <t xml:space="preserve">   Total</t>
  </si>
  <si>
    <t xml:space="preserve">   Planting</t>
  </si>
  <si>
    <t>1.04 Insecticides</t>
  </si>
  <si>
    <t>1.05 Fungicides</t>
  </si>
  <si>
    <t>1.06 Field Fuel Costs</t>
  </si>
  <si>
    <t>1.08 Custom Costs</t>
  </si>
  <si>
    <t>1.09 Repair &amp; Maintenance</t>
  </si>
  <si>
    <t xml:space="preserve">     Pre Plant</t>
  </si>
  <si>
    <t xml:space="preserve">     Plant</t>
  </si>
  <si>
    <t xml:space="preserve">cost/lb </t>
  </si>
  <si>
    <t>insect 1</t>
  </si>
  <si>
    <t>insect 2</t>
  </si>
  <si>
    <t>insect 3</t>
  </si>
  <si>
    <t>spray 1</t>
  </si>
  <si>
    <t>spray 2</t>
  </si>
  <si>
    <t>spray 3</t>
  </si>
  <si>
    <t>Hours per acre for 1" of water</t>
  </si>
  <si>
    <t>inches of water applied</t>
  </si>
  <si>
    <t>rate/hour</t>
  </si>
  <si>
    <t>Plant</t>
  </si>
  <si>
    <t>Custom &amp; Rental Operations</t>
  </si>
  <si>
    <t>Repairs &amp; Maintenance</t>
  </si>
  <si>
    <t>1.09 Repairs and Maintanence</t>
  </si>
  <si>
    <t>Custom 1</t>
  </si>
  <si>
    <t>Custom 2</t>
  </si>
  <si>
    <t>total cost</t>
  </si>
  <si>
    <t>Machinery</t>
  </si>
  <si>
    <t xml:space="preserve">Other </t>
  </si>
  <si>
    <t>years</t>
  </si>
  <si>
    <t>pre plant &amp; planting</t>
  </si>
  <si>
    <t xml:space="preserve"> years in crop</t>
  </si>
  <si>
    <t xml:space="preserve">1.01 Seed and Plants </t>
  </si>
  <si>
    <t>Broadleaf</t>
  </si>
  <si>
    <t>1.05 Fungicide</t>
  </si>
  <si>
    <t>1.06 Fuel Costs</t>
  </si>
  <si>
    <t>Time</t>
  </si>
  <si>
    <t>Hr/Ac</t>
  </si>
  <si>
    <t>Maint.</t>
  </si>
  <si>
    <t>&amp; Lub.</t>
  </si>
  <si>
    <t>bales/acre</t>
  </si>
  <si>
    <t>$/bale</t>
  </si>
  <si>
    <t xml:space="preserve">    Inches applied</t>
  </si>
  <si>
    <t xml:space="preserve">    Hours per acre for 1' of water</t>
  </si>
  <si>
    <t xml:space="preserve">    Hourly pumping costs</t>
  </si>
  <si>
    <t>1.08 Custom &amp; Rental Operations</t>
  </si>
  <si>
    <t xml:space="preserve">     Total</t>
  </si>
  <si>
    <t>100 hp</t>
  </si>
  <si>
    <t>Planter</t>
  </si>
  <si>
    <t>Plow</t>
  </si>
  <si>
    <t>25 ft</t>
  </si>
  <si>
    <t>Rotovator</t>
  </si>
  <si>
    <t>Straw spreader</t>
  </si>
  <si>
    <t xml:space="preserve">Mower </t>
  </si>
  <si>
    <t>Seeder Discer</t>
  </si>
  <si>
    <t>hrs</t>
  </si>
  <si>
    <t>Mites</t>
  </si>
  <si>
    <t>Rototilling</t>
  </si>
  <si>
    <t>Number of acres in production</t>
  </si>
  <si>
    <t>Additional land (acres)for parking etc.</t>
  </si>
  <si>
    <t>5 ft</t>
  </si>
  <si>
    <t>Cultivator</t>
  </si>
  <si>
    <t>18 ft</t>
  </si>
  <si>
    <t>15 ft</t>
  </si>
  <si>
    <t xml:space="preserve">    Seeding Rate Bushels per acre</t>
  </si>
  <si>
    <t xml:space="preserve">    Seed Cost $ per bushel</t>
  </si>
  <si>
    <t>bu/ac</t>
  </si>
  <si>
    <t>$/bu</t>
  </si>
  <si>
    <t>plants/ac</t>
  </si>
  <si>
    <t>$/1000 plants</t>
  </si>
  <si>
    <t>Total Labour Hours</t>
  </si>
  <si>
    <t>Labour Rate per hour</t>
  </si>
  <si>
    <t>Establish - Pre Plant &amp; Planting Year Details</t>
  </si>
  <si>
    <t>1.10 Miscellaneous</t>
  </si>
  <si>
    <t>1.11 Land Taxes</t>
  </si>
  <si>
    <t>1.12 Interest on Operating</t>
  </si>
  <si>
    <t>Other Costs</t>
  </si>
  <si>
    <t>$ /acre broadleaf</t>
  </si>
  <si>
    <t>$ /acre Mites</t>
  </si>
  <si>
    <t>Allocated $</t>
  </si>
  <si>
    <t>Crop Rotation and Yields</t>
  </si>
  <si>
    <t xml:space="preserve">Average Investment per acre </t>
  </si>
  <si>
    <t>Total Field Operation Fuel Costs</t>
  </si>
  <si>
    <t>1.08 Custom Operations</t>
  </si>
  <si>
    <t>hrs/ac weed control</t>
  </si>
  <si>
    <t>hrs/ac de-blossom</t>
  </si>
  <si>
    <t>hrs/ac straw spreading</t>
  </si>
  <si>
    <t>hrs/ac irrigation</t>
  </si>
  <si>
    <t>hrs/ac field operations</t>
  </si>
  <si>
    <t>hrs/ac de-blossoming</t>
  </si>
  <si>
    <t>Hours/acre</t>
  </si>
  <si>
    <t>Strawberry U-Pick Assumptions</t>
  </si>
  <si>
    <t>Establishment Year Costs</t>
  </si>
  <si>
    <t>Strawberry U-Pick Cost of Production Worksheet</t>
  </si>
  <si>
    <t>Picking Year Costs</t>
  </si>
  <si>
    <t>Cost/lb</t>
  </si>
  <si>
    <r>
      <t>Disclaimer:</t>
    </r>
    <r>
      <rPr>
        <sz val="10"/>
        <rFont val="Arial"/>
        <family val="2"/>
      </rPr>
      <t xml:space="preserve"> This budget is only a guide and is not intended as an in depth study of the cost of production of the Manitoba Strawberry U-Pick industry.</t>
    </r>
  </si>
  <si>
    <t>hrs/ac u-pick operations</t>
  </si>
  <si>
    <t>Weed control</t>
  </si>
  <si>
    <t>De-blooming</t>
  </si>
  <si>
    <t>Straw spreading</t>
  </si>
  <si>
    <t>Field operations</t>
  </si>
  <si>
    <t>U-pick operations</t>
  </si>
  <si>
    <t>Total hours/acre</t>
  </si>
  <si>
    <t xml:space="preserve">Commercial strawberry production in Manitoba has been an important part of diversification in the province.  Currently there are approximately 60 growers of strawberries in the province; these farms vary in size from 3 acres to 20 acres.  The majority of the strawberry farms are on a U-Pick basis; but custom picking of the crop has increased over the past few years. </t>
  </si>
  <si>
    <t xml:space="preserve">It is advised that new growers should proceed on a small but graduated scale.  A complete assessment of the customer base and marketing opportunities needs to be completed prior to planting the first crop of strawberries.  </t>
  </si>
  <si>
    <t>Strawberries are an intensely managed crop that require precise timing. Yield and quality achieved during the short 3-4 week picking season hinge on timely management practices of the previous year, as well as care and maintenance before picking.  Growers entering the industry need these basic requirements: (1) suitable land with adequate drainage and shelterbelts, (2) access to an adequate quantity and quality of water for irrigation, (3) financial resources that permit a significant level of investment on infrastructure and input costs, (4) the ability to apply intensive management skills to the crop in a precisely timed manner, (5) the ability to determine market potential, and (5) the willingness to accept risk.</t>
  </si>
  <si>
    <t>Picking Years - Details</t>
  </si>
  <si>
    <t xml:space="preserve">broadleaf control </t>
  </si>
  <si>
    <t>hours/acre for 1" of water</t>
  </si>
  <si>
    <t>pre plant $/acre</t>
  </si>
  <si>
    <t>plant $/acre</t>
  </si>
  <si>
    <t>subtotal operating</t>
  </si>
  <si>
    <t>1.01 Seed and Planting Costs</t>
  </si>
  <si>
    <t>3.03 Other Equipment</t>
  </si>
  <si>
    <t>2.02 Other Equipment</t>
  </si>
  <si>
    <t>Tarnish Plant Bug</t>
  </si>
  <si>
    <t>$ /acre Tarnish Plant Bug</t>
  </si>
  <si>
    <t>seeding rate (bu/acre)</t>
  </si>
  <si>
    <t>seed cost ($/bu)</t>
  </si>
  <si>
    <t>$/ 1,000 plants</t>
  </si>
  <si>
    <t>1,000 plants</t>
  </si>
  <si>
    <t>November, 2012</t>
  </si>
  <si>
    <t>Wheat</t>
  </si>
  <si>
    <t>Grassy</t>
  </si>
  <si>
    <t>Anthony Mintenko</t>
  </si>
  <si>
    <t>Business Development Specialist - Fruit Crops</t>
  </si>
  <si>
    <t>Wendy Durand</t>
  </si>
  <si>
    <t xml:space="preserve">Business Development Specialist </t>
  </si>
  <si>
    <t xml:space="preserve">For more information contact your local MAFRI office. </t>
  </si>
  <si>
    <t>Roy Arnott</t>
  </si>
  <si>
    <t>Production Costs</t>
  </si>
  <si>
    <t>Estimated Farmgate</t>
  </si>
  <si>
    <t>Gross Revenue</t>
  </si>
  <si>
    <t>Per Acre</t>
  </si>
  <si>
    <t>Market Price per Pound</t>
  </si>
  <si>
    <t>grassy</t>
  </si>
  <si>
    <t>grassy (establish)</t>
  </si>
  <si>
    <t xml:space="preserve">Marginal Returns </t>
  </si>
  <si>
    <t xml:space="preserve">  Operating Costs</t>
  </si>
  <si>
    <t xml:space="preserve">  Operating &amp; Fixed Costs</t>
  </si>
  <si>
    <t>Breakeven</t>
  </si>
  <si>
    <t>Total Operating &amp; Fixed</t>
  </si>
  <si>
    <t>Price ($/lb.)</t>
  </si>
  <si>
    <t>Yield (lbs./acre)</t>
  </si>
  <si>
    <t>$ per $ Total Cost</t>
  </si>
  <si>
    <t>$ /acre grassy</t>
  </si>
  <si>
    <t>Estimated fuel cost per litre of picking year</t>
  </si>
  <si>
    <t>Note: Plant cost based on Prairie Fruit Growers Association member plant discount price for 2012.</t>
  </si>
  <si>
    <t xml:space="preserve">    Transplanting rate plants/acre </t>
  </si>
  <si>
    <t xml:space="preserve">    Plant Cost / 1000 plants</t>
  </si>
  <si>
    <t xml:space="preserve">The projected strawberry production costs in this publication have been prepared to assist you in developing your own production costs. </t>
  </si>
  <si>
    <t>The budget should be used as a guide only as each situation may have higher or lower costs than those listed. Costs and yields on each farm differ due to soil type, climatic conditions and agronomic practices. Therefore, producers are encouraged to substitute their own figures in the attached budget to develop their own cost of production for strawberry production.</t>
  </si>
  <si>
    <t>Historic provincial strawberry yields average 5300 lbs per acre depending on field age and level of management. Prices for strawberries vary for u-pick and pre-pick sales. 2011 Manitoba Agricultural Statisitics indicated that strawberries ranged in price $1.80-2.00/ lbs ($9.00-$10.00/ 4 L pail) for U-Pick sales, and $2.40-3.20/ lbs ($12.00-16.00/ 4 L pail) pre-picked sales.</t>
  </si>
  <si>
    <r>
      <t>Disclaimer</t>
    </r>
    <r>
      <rPr>
        <sz val="12"/>
        <color indexed="8"/>
        <rFont val="Arial"/>
        <family val="2"/>
      </rPr>
      <t>: This budget is only a guide and is not intended as an in depth study of the cost of production of this industry.  Interpretation and utilization of this information is the responsibility of the user. If you require assistance with developing your individual budget, please contact your local Manitoba Agriculture Food and Rural Initiatives office.</t>
    </r>
  </si>
  <si>
    <t>The capital and cash input costs associated with growing strawberries in Manitoba are substantial.  Detailed planning is necessary when budgeting for capital expenditures and also for the annual operating costs. The importance of good financial planning is evident by noting the capital required for 1 acre of strawberries may be in the vicinity of $12,400.  Cash costs of establishing the crop run about  $1,500 in the two years prior to picking with an additional $2,100 in the first year of of production before income begins to flow.</t>
  </si>
  <si>
    <t>Over Operating Costs</t>
  </si>
  <si>
    <t>Over Operating &amp; Fixed Costs</t>
  </si>
  <si>
    <t>per 5 lb. basket or pail</t>
  </si>
  <si>
    <t>Pails/Baskets ($ / each)</t>
  </si>
  <si>
    <t>Advertising (total $)</t>
  </si>
  <si>
    <t>Utilities ($ total)</t>
  </si>
  <si>
    <t>Total Annual Cost</t>
  </si>
  <si>
    <t>Washrooms (Total cost)</t>
  </si>
  <si>
    <t>advertizing, utilities &amp; pails</t>
  </si>
  <si>
    <t>utilities</t>
  </si>
  <si>
    <t>pails (5 lb capacity)</t>
  </si>
  <si>
    <t>Picking Years</t>
  </si>
  <si>
    <t>Over Operating, Fixed &amp; Labour Costs</t>
  </si>
  <si>
    <t xml:space="preserve">  Over Operating, Fixed &amp; Labour Costs</t>
  </si>
  <si>
    <t xml:space="preserve">Expected revenue before expenses based on a starwberry operation with 50% u-pick sales and 50% pre-picked sales ($2.10 per lbs) with average yield would be  $11,271 per acre minus production costs ($3,947), results in a marginal return of $7,324 per acres (not including start-up costs).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</si>
</sst>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0.0000"/>
    <numFmt numFmtId="166" formatCode="#,##0.0"/>
    <numFmt numFmtId="167" formatCode="&quot;$&quot;#,##0.0000"/>
    <numFmt numFmtId="168" formatCode="&quot;$&quot;#,##0.00"/>
    <numFmt numFmtId="169" formatCode="0.0"/>
    <numFmt numFmtId="170" formatCode="&quot;$&quot;#,##0"/>
    <numFmt numFmtId="171" formatCode="0.0%"/>
    <numFmt numFmtId="172" formatCode="&quot;$&quot;#,##0.000;\-&quot;$&quot;#,##0.000"/>
    <numFmt numFmtId="173" formatCode="#,##0_ ;\-#,##0\ "/>
    <numFmt numFmtId="174" formatCode="&quot;$&quot;#,##0.0000;\-&quot;$&quot;#,##0.0000"/>
  </numFmts>
  <fonts count="61">
    <font>
      <sz val="12"/>
      <name val="Arial"/>
      <family val="0"/>
    </font>
    <font>
      <sz val="11"/>
      <color indexed="8"/>
      <name val="Calibri"/>
      <family val="2"/>
    </font>
    <font>
      <b/>
      <sz val="12"/>
      <name val="Arial"/>
      <family val="2"/>
    </font>
    <font>
      <sz val="14"/>
      <name val="Arial"/>
      <family val="2"/>
    </font>
    <font>
      <sz val="12"/>
      <name val="Lucida Sans Unicode"/>
      <family val="2"/>
    </font>
    <font>
      <b/>
      <sz val="14"/>
      <color indexed="18"/>
      <name val="Arial"/>
      <family val="2"/>
    </font>
    <font>
      <b/>
      <u val="single"/>
      <sz val="12"/>
      <name val="Arial"/>
      <family val="2"/>
    </font>
    <font>
      <u val="single"/>
      <sz val="12"/>
      <name val="Arial"/>
      <family val="2"/>
    </font>
    <font>
      <b/>
      <sz val="12"/>
      <color indexed="12"/>
      <name val="Arial"/>
      <family val="2"/>
    </font>
    <font>
      <b/>
      <sz val="10"/>
      <color indexed="12"/>
      <name val="Arial"/>
      <family val="2"/>
    </font>
    <font>
      <b/>
      <u val="single"/>
      <sz val="12"/>
      <color indexed="12"/>
      <name val="Arial"/>
      <family val="2"/>
    </font>
    <font>
      <b/>
      <vertAlign val="subscript"/>
      <sz val="12"/>
      <name val="Arial"/>
      <family val="2"/>
    </font>
    <font>
      <b/>
      <u val="single"/>
      <sz val="14"/>
      <name val="Arial"/>
      <family val="2"/>
    </font>
    <font>
      <b/>
      <vertAlign val="superscript"/>
      <sz val="12"/>
      <name val="Arial"/>
      <family val="2"/>
    </font>
    <font>
      <b/>
      <sz val="14"/>
      <color indexed="10"/>
      <name val="Arial"/>
      <family val="2"/>
    </font>
    <font>
      <sz val="10"/>
      <name val="Arial"/>
      <family val="2"/>
    </font>
    <font>
      <b/>
      <sz val="10"/>
      <name val="Arial"/>
      <family val="2"/>
    </font>
    <font>
      <b/>
      <sz val="12"/>
      <color indexed="18"/>
      <name val="Arial"/>
      <family val="2"/>
    </font>
    <font>
      <b/>
      <sz val="12"/>
      <name val="Lucida Sans Unicode"/>
      <family val="2"/>
    </font>
    <font>
      <i/>
      <sz val="8"/>
      <name val="Arial"/>
      <family val="2"/>
    </font>
    <font>
      <sz val="9"/>
      <name val="Tahoma"/>
      <family val="2"/>
    </font>
    <font>
      <b/>
      <sz val="9"/>
      <name val="Tahoma"/>
      <family val="2"/>
    </font>
    <font>
      <sz val="12"/>
      <color indexed="8"/>
      <name val="Arial"/>
      <family val="2"/>
    </font>
    <font>
      <b/>
      <sz val="12"/>
      <color indexed="8"/>
      <name val="Arial"/>
      <family val="2"/>
    </font>
    <font>
      <sz val="16"/>
      <color indexed="18"/>
      <name val="Arial"/>
      <family val="2"/>
    </font>
    <font>
      <b/>
      <sz val="2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bottom style="double"/>
    </border>
  </borders>
  <cellStyleXfs count="62">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horizontal="right" vertical="justify"/>
      <protection/>
    </xf>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168" fontId="0" fillId="0" borderId="0">
      <alignment vertical="top"/>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2">
    <xf numFmtId="0" fontId="0" fillId="0" borderId="0" xfId="0" applyAlignment="1">
      <alignment/>
    </xf>
    <xf numFmtId="0" fontId="4" fillId="0" borderId="0" xfId="0" applyFont="1" applyAlignment="1">
      <alignment/>
    </xf>
    <xf numFmtId="0" fontId="0" fillId="0" borderId="0" xfId="0" applyFont="1" applyAlignment="1">
      <alignment/>
    </xf>
    <xf numFmtId="3" fontId="8" fillId="0" borderId="0" xfId="0" applyNumberFormat="1" applyFont="1" applyAlignment="1" applyProtection="1">
      <alignment/>
      <protection locked="0"/>
    </xf>
    <xf numFmtId="7" fontId="8" fillId="0" borderId="0" xfId="0" applyNumberFormat="1" applyFont="1" applyAlignment="1" applyProtection="1">
      <alignment/>
      <protection locked="0"/>
    </xf>
    <xf numFmtId="0" fontId="8" fillId="0" borderId="0" xfId="0" applyFont="1" applyAlignment="1" applyProtection="1">
      <alignment/>
      <protection locked="0"/>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horizontal="right"/>
      <protection/>
    </xf>
    <xf numFmtId="0" fontId="2" fillId="0" borderId="0" xfId="0" applyFont="1" applyAlignment="1" applyProtection="1">
      <alignment horizontal="right"/>
      <protection/>
    </xf>
    <xf numFmtId="9" fontId="8" fillId="0" borderId="0" xfId="0" applyNumberFormat="1" applyFont="1" applyAlignment="1" applyProtection="1">
      <alignment/>
      <protection locked="0"/>
    </xf>
    <xf numFmtId="168" fontId="0" fillId="0" borderId="0" xfId="55">
      <alignment vertical="top"/>
      <protection/>
    </xf>
    <xf numFmtId="0" fontId="0" fillId="0" borderId="0" xfId="0" applyFont="1" applyAlignment="1" applyProtection="1">
      <alignment/>
      <protection/>
    </xf>
    <xf numFmtId="0" fontId="0" fillId="0" borderId="0" xfId="0" applyFont="1" applyFill="1" applyAlignment="1" applyProtection="1">
      <alignment/>
      <protection/>
    </xf>
    <xf numFmtId="0" fontId="4" fillId="0" borderId="0" xfId="0" applyFont="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protection/>
    </xf>
    <xf numFmtId="0" fontId="2" fillId="0" borderId="0" xfId="0" applyFont="1" applyAlignment="1" applyProtection="1">
      <alignment horizontal="left"/>
      <protection/>
    </xf>
    <xf numFmtId="168" fontId="0" fillId="0" borderId="0" xfId="0" applyNumberFormat="1" applyFont="1" applyAlignment="1" applyProtection="1">
      <alignment/>
      <protection/>
    </xf>
    <xf numFmtId="168" fontId="7" fillId="0" borderId="0" xfId="0" applyNumberFormat="1" applyFont="1" applyAlignment="1" applyProtection="1">
      <alignment/>
      <protection/>
    </xf>
    <xf numFmtId="168" fontId="2" fillId="0" borderId="0" xfId="0" applyNumberFormat="1" applyFont="1" applyAlignment="1" applyProtection="1">
      <alignment/>
      <protection/>
    </xf>
    <xf numFmtId="168" fontId="8" fillId="0" borderId="0" xfId="0" applyNumberFormat="1" applyFont="1" applyAlignment="1" applyProtection="1">
      <alignment/>
      <protection locked="0"/>
    </xf>
    <xf numFmtId="0" fontId="2" fillId="0" borderId="0" xfId="0" applyFont="1" applyAlignment="1">
      <alignment/>
    </xf>
    <xf numFmtId="0" fontId="8" fillId="0" borderId="0" xfId="0" applyFont="1" applyAlignment="1" applyProtection="1">
      <alignment/>
      <protection/>
    </xf>
    <xf numFmtId="168" fontId="8" fillId="0" borderId="0" xfId="0" applyNumberFormat="1" applyFont="1" applyAlignment="1" applyProtection="1">
      <alignment/>
      <protection/>
    </xf>
    <xf numFmtId="0" fontId="2" fillId="0" borderId="0" xfId="0" applyFont="1" applyAlignment="1">
      <alignment horizontal="right"/>
    </xf>
    <xf numFmtId="0" fontId="6" fillId="0" borderId="0" xfId="0" applyFont="1" applyAlignment="1">
      <alignment horizontal="right"/>
    </xf>
    <xf numFmtId="168" fontId="0" fillId="0" borderId="0" xfId="0" applyNumberFormat="1" applyFont="1" applyAlignment="1">
      <alignment/>
    </xf>
    <xf numFmtId="168" fontId="7" fillId="0" borderId="0" xfId="0" applyNumberFormat="1" applyFont="1" applyAlignment="1">
      <alignment/>
    </xf>
    <xf numFmtId="0" fontId="2" fillId="0" borderId="0" xfId="0" applyFont="1" applyAlignment="1" applyProtection="1">
      <alignment horizontal="center"/>
      <protection/>
    </xf>
    <xf numFmtId="0" fontId="6" fillId="0" borderId="0" xfId="0" applyFont="1" applyAlignment="1" applyProtection="1">
      <alignment horizontal="center"/>
      <protection/>
    </xf>
    <xf numFmtId="168" fontId="2" fillId="0" borderId="0" xfId="0" applyNumberFormat="1" applyFont="1" applyAlignment="1">
      <alignment/>
    </xf>
    <xf numFmtId="171" fontId="8" fillId="0" borderId="0" xfId="0" applyNumberFormat="1" applyFont="1" applyAlignment="1" applyProtection="1">
      <alignment/>
      <protection locked="0"/>
    </xf>
    <xf numFmtId="0" fontId="6" fillId="0" borderId="0" xfId="0" applyNumberFormat="1" applyFont="1" applyAlignment="1" applyProtection="1">
      <alignment horizontal="center"/>
      <protection/>
    </xf>
    <xf numFmtId="168" fontId="2" fillId="0" borderId="0" xfId="44" applyNumberFormat="1" applyFont="1">
      <alignment horizontal="right" vertical="justify"/>
      <protection/>
    </xf>
    <xf numFmtId="0" fontId="7" fillId="0" borderId="0" xfId="0" applyFont="1" applyAlignment="1" applyProtection="1">
      <alignment/>
      <protection/>
    </xf>
    <xf numFmtId="7" fontId="0" fillId="0" borderId="0" xfId="0" applyNumberFormat="1" applyFont="1" applyAlignment="1">
      <alignment/>
    </xf>
    <xf numFmtId="0" fontId="6" fillId="0" borderId="0" xfId="0" applyFont="1" applyFill="1" applyAlignment="1" applyProtection="1">
      <alignment horizontal="center"/>
      <protection/>
    </xf>
    <xf numFmtId="0" fontId="0" fillId="0" borderId="0" xfId="0" applyAlignment="1">
      <alignment vertical="top"/>
    </xf>
    <xf numFmtId="168" fontId="0" fillId="0" borderId="0" xfId="55" applyFont="1" applyBorder="1" applyAlignment="1">
      <alignment vertical="top"/>
      <protection/>
    </xf>
    <xf numFmtId="168" fontId="0" fillId="0" borderId="0" xfId="55" applyBorder="1" applyAlignment="1">
      <alignment vertical="top"/>
      <protection/>
    </xf>
    <xf numFmtId="0" fontId="0" fillId="0" borderId="0" xfId="0" applyFont="1" applyBorder="1" applyAlignment="1" applyProtection="1">
      <alignment/>
      <protection/>
    </xf>
    <xf numFmtId="168" fontId="0" fillId="0" borderId="0" xfId="0" applyNumberFormat="1" applyFont="1" applyBorder="1" applyAlignment="1" applyProtection="1">
      <alignment/>
      <protection/>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7" fontId="0" fillId="0" borderId="0" xfId="0" applyNumberFormat="1" applyFont="1" applyBorder="1" applyAlignment="1">
      <alignment/>
    </xf>
    <xf numFmtId="168" fontId="0" fillId="0" borderId="0" xfId="0" applyNumberFormat="1" applyFont="1" applyBorder="1" applyAlignment="1">
      <alignment/>
    </xf>
    <xf numFmtId="168" fontId="7" fillId="0" borderId="0"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Border="1" applyAlignment="1" applyProtection="1">
      <alignment/>
      <protection/>
    </xf>
    <xf numFmtId="0" fontId="0" fillId="0" borderId="0" xfId="0" applyFont="1" applyBorder="1" applyAlignment="1">
      <alignment/>
    </xf>
    <xf numFmtId="168" fontId="7" fillId="0" borderId="0" xfId="0" applyNumberFormat="1" applyFont="1" applyBorder="1" applyAlignment="1" applyProtection="1">
      <alignment/>
      <protection/>
    </xf>
    <xf numFmtId="168" fontId="0" fillId="0" borderId="0" xfId="55" applyFont="1" applyAlignment="1">
      <alignment vertical="top"/>
      <protection/>
    </xf>
    <xf numFmtId="0" fontId="0" fillId="0" borderId="0" xfId="0" applyFont="1" applyAlignment="1">
      <alignment horizontal="center"/>
    </xf>
    <xf numFmtId="0" fontId="2" fillId="0" borderId="0" xfId="0" applyFont="1" applyAlignment="1">
      <alignment horizontal="center"/>
    </xf>
    <xf numFmtId="0" fontId="0" fillId="0" borderId="10" xfId="0" applyFont="1" applyBorder="1" applyAlignment="1">
      <alignment/>
    </xf>
    <xf numFmtId="0" fontId="0" fillId="0" borderId="11" xfId="0" applyFont="1" applyBorder="1" applyAlignment="1">
      <alignment/>
    </xf>
    <xf numFmtId="7" fontId="2" fillId="0" borderId="0" xfId="0" applyNumberFormat="1" applyFont="1" applyAlignment="1">
      <alignment/>
    </xf>
    <xf numFmtId="3" fontId="0" fillId="0" borderId="0" xfId="0" applyNumberFormat="1" applyFont="1" applyAlignment="1">
      <alignment/>
    </xf>
    <xf numFmtId="173" fontId="0" fillId="0" borderId="0" xfId="0" applyNumberFormat="1" applyFont="1" applyAlignment="1">
      <alignment/>
    </xf>
    <xf numFmtId="7" fontId="7" fillId="0" borderId="0" xfId="0" applyNumberFormat="1" applyFont="1" applyAlignment="1">
      <alignment/>
    </xf>
    <xf numFmtId="172" fontId="7" fillId="0" borderId="0" xfId="0" applyNumberFormat="1" applyFont="1" applyAlignment="1">
      <alignment/>
    </xf>
    <xf numFmtId="7" fontId="2" fillId="0" borderId="0" xfId="0" applyNumberFormat="1" applyFont="1" applyAlignment="1">
      <alignment horizontal="center"/>
    </xf>
    <xf numFmtId="0" fontId="0" fillId="0" borderId="0" xfId="0" applyFont="1" applyAlignment="1">
      <alignment horizontal="right"/>
    </xf>
    <xf numFmtId="2" fontId="0" fillId="0" borderId="0" xfId="0" applyNumberFormat="1" applyFont="1" applyAlignment="1">
      <alignment/>
    </xf>
    <xf numFmtId="165" fontId="0" fillId="0" borderId="0" xfId="0" applyNumberFormat="1" applyFont="1" applyAlignment="1">
      <alignment/>
    </xf>
    <xf numFmtId="171" fontId="0" fillId="0" borderId="0" xfId="0" applyNumberFormat="1" applyFont="1" applyAlignment="1">
      <alignment/>
    </xf>
    <xf numFmtId="5" fontId="7" fillId="0" borderId="0" xfId="0" applyNumberFormat="1" applyFont="1" applyAlignment="1">
      <alignment/>
    </xf>
    <xf numFmtId="7" fontId="0" fillId="0" borderId="0" xfId="0" applyNumberFormat="1" applyFont="1" applyAlignment="1">
      <alignment horizontal="center"/>
    </xf>
    <xf numFmtId="0" fontId="6" fillId="0" borderId="0" xfId="0" applyFont="1" applyAlignment="1">
      <alignment/>
    </xf>
    <xf numFmtId="3" fontId="7" fillId="0" borderId="0" xfId="0" applyNumberFormat="1" applyFont="1" applyAlignment="1">
      <alignment/>
    </xf>
    <xf numFmtId="171" fontId="7" fillId="0" borderId="0" xfId="0" applyNumberFormat="1" applyFont="1" applyAlignment="1">
      <alignment/>
    </xf>
    <xf numFmtId="3" fontId="8" fillId="0" borderId="0" xfId="0" applyNumberFormat="1" applyFont="1" applyAlignment="1" applyProtection="1">
      <alignment/>
      <protection/>
    </xf>
    <xf numFmtId="7" fontId="7" fillId="0" borderId="0" xfId="0" applyNumberFormat="1" applyFont="1" applyAlignment="1">
      <alignment horizontal="center"/>
    </xf>
    <xf numFmtId="170" fontId="7" fillId="0" borderId="0" xfId="0" applyNumberFormat="1" applyFont="1" applyAlignment="1">
      <alignment/>
    </xf>
    <xf numFmtId="5" fontId="2" fillId="0" borderId="0" xfId="0" applyNumberFormat="1" applyFont="1" applyAlignment="1" applyProtection="1">
      <alignment/>
      <protection/>
    </xf>
    <xf numFmtId="5" fontId="6" fillId="0" borderId="0" xfId="0" applyNumberFormat="1" applyFont="1" applyAlignment="1" applyProtection="1">
      <alignment/>
      <protection/>
    </xf>
    <xf numFmtId="0" fontId="8" fillId="0" borderId="0" xfId="0" applyFont="1" applyAlignment="1" applyProtection="1">
      <alignment horizontal="center"/>
      <protection locked="0"/>
    </xf>
    <xf numFmtId="0" fontId="10" fillId="0" borderId="0" xfId="0" applyFont="1" applyAlignment="1" applyProtection="1">
      <alignment horizontal="center"/>
      <protection locked="0"/>
    </xf>
    <xf numFmtId="168" fontId="0" fillId="0" borderId="0" xfId="0" applyNumberFormat="1" applyFont="1" applyAlignment="1">
      <alignment horizontal="center"/>
    </xf>
    <xf numFmtId="168" fontId="2" fillId="0" borderId="0" xfId="0" applyNumberFormat="1" applyFont="1" applyAlignment="1">
      <alignment horizontal="center"/>
    </xf>
    <xf numFmtId="168" fontId="2" fillId="0" borderId="0" xfId="55" applyFont="1" applyAlignment="1">
      <alignment horizontal="right" vertical="top"/>
      <protection/>
    </xf>
    <xf numFmtId="170" fontId="8" fillId="0" borderId="0" xfId="0" applyNumberFormat="1" applyFont="1" applyAlignment="1" applyProtection="1">
      <alignment/>
      <protection locked="0"/>
    </xf>
    <xf numFmtId="170" fontId="10" fillId="0" borderId="0" xfId="0" applyNumberFormat="1" applyFont="1" applyAlignment="1" applyProtection="1">
      <alignment/>
      <protection locked="0"/>
    </xf>
    <xf numFmtId="3" fontId="2" fillId="0" borderId="0" xfId="0" applyNumberFormat="1" applyFont="1" applyAlignment="1" applyProtection="1">
      <alignment horizontal="center"/>
      <protection/>
    </xf>
    <xf numFmtId="173" fontId="7" fillId="0" borderId="0" xfId="0" applyNumberFormat="1" applyFont="1" applyAlignment="1">
      <alignment/>
    </xf>
    <xf numFmtId="9" fontId="10" fillId="0" borderId="0" xfId="0" applyNumberFormat="1" applyFont="1" applyAlignment="1" applyProtection="1">
      <alignment/>
      <protection locked="0"/>
    </xf>
    <xf numFmtId="0" fontId="0" fillId="0" borderId="0" xfId="0" applyAlignment="1">
      <alignment horizontal="center"/>
    </xf>
    <xf numFmtId="3" fontId="0" fillId="0" borderId="0" xfId="0" applyNumberFormat="1" applyFont="1" applyAlignment="1">
      <alignment horizontal="center"/>
    </xf>
    <xf numFmtId="3" fontId="7" fillId="0" borderId="0" xfId="0" applyNumberFormat="1" applyFont="1" applyAlignment="1">
      <alignment horizontal="center"/>
    </xf>
    <xf numFmtId="0" fontId="0" fillId="0" borderId="10" xfId="0" applyBorder="1" applyAlignment="1">
      <alignment/>
    </xf>
    <xf numFmtId="0" fontId="2" fillId="0" borderId="0" xfId="0" applyFont="1" applyAlignment="1">
      <alignment horizontal="left"/>
    </xf>
    <xf numFmtId="0" fontId="6" fillId="0" borderId="0" xfId="0" applyFont="1" applyAlignment="1" applyProtection="1">
      <alignment horizontal="left"/>
      <protection/>
    </xf>
    <xf numFmtId="0" fontId="0" fillId="0" borderId="0" xfId="0" applyAlignment="1">
      <alignment horizontal="right"/>
    </xf>
    <xf numFmtId="168" fontId="7" fillId="0" borderId="0" xfId="0" applyNumberFormat="1" applyFont="1" applyAlignment="1">
      <alignment horizontal="center"/>
    </xf>
    <xf numFmtId="173" fontId="0" fillId="0" borderId="0" xfId="0" applyNumberFormat="1" applyFont="1" applyAlignment="1">
      <alignment vertical="top"/>
    </xf>
    <xf numFmtId="0" fontId="0" fillId="0" borderId="0" xfId="0" applyBorder="1" applyAlignment="1">
      <alignment/>
    </xf>
    <xf numFmtId="7" fontId="0" fillId="0" borderId="0" xfId="0" applyNumberFormat="1" applyAlignment="1">
      <alignment/>
    </xf>
    <xf numFmtId="3" fontId="0" fillId="0" borderId="0" xfId="0" applyNumberFormat="1" applyAlignment="1">
      <alignment/>
    </xf>
    <xf numFmtId="168" fontId="0" fillId="0" borderId="0" xfId="0" applyNumberFormat="1" applyAlignment="1">
      <alignment/>
    </xf>
    <xf numFmtId="174" fontId="0" fillId="0" borderId="0" xfId="0" applyNumberFormat="1" applyFont="1" applyAlignment="1">
      <alignment/>
    </xf>
    <xf numFmtId="167" fontId="0" fillId="0" borderId="0" xfId="0" applyNumberFormat="1" applyFont="1" applyBorder="1" applyAlignment="1" applyProtection="1">
      <alignment/>
      <protection/>
    </xf>
    <xf numFmtId="167" fontId="7" fillId="0" borderId="0" xfId="0" applyNumberFormat="1" applyFont="1" applyAlignment="1">
      <alignment/>
    </xf>
    <xf numFmtId="167" fontId="2" fillId="0" borderId="0" xfId="0" applyNumberFormat="1" applyFont="1" applyAlignment="1" applyProtection="1">
      <alignment/>
      <protection/>
    </xf>
    <xf numFmtId="167" fontId="0" fillId="0" borderId="0" xfId="0" applyNumberFormat="1" applyFont="1" applyAlignment="1">
      <alignment/>
    </xf>
    <xf numFmtId="167" fontId="2" fillId="0" borderId="0" xfId="44" applyNumberFormat="1" applyFont="1">
      <alignment horizontal="right" vertical="justify"/>
      <protection/>
    </xf>
    <xf numFmtId="167" fontId="2" fillId="0" borderId="0" xfId="0" applyNumberFormat="1" applyFont="1" applyAlignment="1">
      <alignment/>
    </xf>
    <xf numFmtId="1" fontId="0" fillId="0" borderId="0" xfId="0" applyNumberFormat="1" applyFont="1" applyAlignment="1">
      <alignment/>
    </xf>
    <xf numFmtId="0" fontId="14" fillId="0" borderId="0" xfId="0" applyFont="1" applyFill="1" applyAlignment="1" applyProtection="1">
      <alignment/>
      <protection/>
    </xf>
    <xf numFmtId="165" fontId="0" fillId="0" borderId="0" xfId="0" applyNumberFormat="1" applyAlignment="1">
      <alignment/>
    </xf>
    <xf numFmtId="2" fontId="0" fillId="0" borderId="0" xfId="0" applyNumberFormat="1" applyAlignment="1">
      <alignment/>
    </xf>
    <xf numFmtId="2" fontId="7" fillId="0" borderId="0" xfId="0" applyNumberFormat="1" applyFont="1" applyAlignment="1">
      <alignment/>
    </xf>
    <xf numFmtId="165" fontId="7" fillId="0" borderId="0" xfId="0" applyNumberFormat="1" applyFont="1" applyAlignment="1">
      <alignment/>
    </xf>
    <xf numFmtId="174" fontId="7" fillId="0" borderId="0" xfId="0" applyNumberFormat="1" applyFont="1" applyAlignment="1">
      <alignment/>
    </xf>
    <xf numFmtId="0" fontId="10" fillId="0" borderId="0" xfId="0" applyFont="1" applyAlignment="1" applyProtection="1">
      <alignment/>
      <protection/>
    </xf>
    <xf numFmtId="0" fontId="12" fillId="0" borderId="0" xfId="0" applyFont="1" applyAlignment="1" applyProtection="1">
      <alignment horizontal="center" vertical="top"/>
      <protection/>
    </xf>
    <xf numFmtId="0" fontId="0" fillId="0" borderId="0" xfId="0" applyAlignment="1" applyProtection="1">
      <alignment horizontal="center" vertical="top"/>
      <protection/>
    </xf>
    <xf numFmtId="169" fontId="0" fillId="0" borderId="0" xfId="0" applyNumberFormat="1" applyFont="1" applyAlignment="1">
      <alignment/>
    </xf>
    <xf numFmtId="169" fontId="0" fillId="0" borderId="0" xfId="0" applyNumberFormat="1" applyAlignment="1">
      <alignment/>
    </xf>
    <xf numFmtId="7" fontId="8" fillId="0" borderId="0" xfId="0" applyNumberFormat="1" applyFont="1" applyAlignment="1" applyProtection="1">
      <alignment/>
      <protection/>
    </xf>
    <xf numFmtId="171" fontId="8" fillId="0" borderId="0" xfId="0" applyNumberFormat="1" applyFont="1" applyAlignment="1" applyProtection="1">
      <alignment/>
      <protection/>
    </xf>
    <xf numFmtId="0" fontId="0" fillId="0" borderId="0" xfId="0" applyAlignment="1" applyProtection="1">
      <alignment horizontal="center"/>
      <protection/>
    </xf>
    <xf numFmtId="3" fontId="2" fillId="0" borderId="0" xfId="0" applyNumberFormat="1" applyFont="1" applyAlignment="1" applyProtection="1">
      <alignment horizontal="center" vertical="top"/>
      <protection/>
    </xf>
    <xf numFmtId="4" fontId="0" fillId="0" borderId="0" xfId="0" applyNumberFormat="1" applyFont="1" applyAlignment="1" applyProtection="1">
      <alignment vertical="top"/>
      <protection/>
    </xf>
    <xf numFmtId="5" fontId="2" fillId="0" borderId="0" xfId="0" applyNumberFormat="1" applyFont="1" applyAlignment="1" applyProtection="1">
      <alignment horizontal="center"/>
      <protection/>
    </xf>
    <xf numFmtId="9" fontId="8" fillId="0" borderId="0" xfId="0" applyNumberFormat="1" applyFont="1" applyAlignment="1" applyProtection="1">
      <alignment/>
      <protection/>
    </xf>
    <xf numFmtId="9" fontId="10" fillId="0" borderId="0" xfId="0" applyNumberFormat="1" applyFont="1" applyAlignment="1" applyProtection="1">
      <alignment/>
      <protection/>
    </xf>
    <xf numFmtId="170" fontId="2" fillId="0" borderId="0" xfId="0" applyNumberFormat="1" applyFont="1" applyAlignment="1" applyProtection="1">
      <alignment/>
      <protection/>
    </xf>
    <xf numFmtId="9" fontId="2" fillId="0" borderId="0" xfId="0" applyNumberFormat="1" applyFont="1" applyAlignment="1" applyProtection="1">
      <alignment/>
      <protection/>
    </xf>
    <xf numFmtId="5" fontId="0" fillId="0" borderId="0" xfId="0" applyNumberFormat="1" applyAlignment="1" applyProtection="1">
      <alignment/>
      <protection/>
    </xf>
    <xf numFmtId="169" fontId="6" fillId="0" borderId="0" xfId="0" applyNumberFormat="1" applyFont="1" applyAlignment="1" applyProtection="1">
      <alignment/>
      <protection/>
    </xf>
    <xf numFmtId="169" fontId="2" fillId="0" borderId="0" xfId="0" applyNumberFormat="1" applyFont="1" applyAlignment="1" applyProtection="1">
      <alignment/>
      <protection/>
    </xf>
    <xf numFmtId="0" fontId="8" fillId="0" borderId="0" xfId="0" applyFont="1" applyAlignment="1" applyProtection="1">
      <alignment horizontal="right"/>
      <protection locked="0"/>
    </xf>
    <xf numFmtId="166" fontId="8" fillId="0" borderId="0" xfId="0" applyNumberFormat="1" applyFont="1" applyAlignment="1" applyProtection="1">
      <alignment/>
      <protection locked="0"/>
    </xf>
    <xf numFmtId="169" fontId="8" fillId="0" borderId="0" xfId="0" applyNumberFormat="1" applyFont="1" applyAlignment="1" applyProtection="1">
      <alignment/>
      <protection locked="0"/>
    </xf>
    <xf numFmtId="7" fontId="6" fillId="0" borderId="0" xfId="0" applyNumberFormat="1" applyFont="1" applyAlignment="1" applyProtection="1">
      <alignment horizontal="right"/>
      <protection/>
    </xf>
    <xf numFmtId="169" fontId="10" fillId="0" borderId="0" xfId="0" applyNumberFormat="1" applyFont="1" applyAlignment="1" applyProtection="1">
      <alignment/>
      <protection locked="0"/>
    </xf>
    <xf numFmtId="7" fontId="8" fillId="0" borderId="0" xfId="0" applyNumberFormat="1" applyFont="1" applyFill="1" applyAlignment="1" applyProtection="1">
      <alignment/>
      <protection locked="0"/>
    </xf>
    <xf numFmtId="168" fontId="8" fillId="0" borderId="0" xfId="0" applyNumberFormat="1" applyFont="1" applyFill="1" applyAlignment="1" applyProtection="1">
      <alignment/>
      <protection locked="0"/>
    </xf>
    <xf numFmtId="0" fontId="15" fillId="0" borderId="0" xfId="0" applyFont="1" applyAlignment="1">
      <alignment vertical="top" wrapText="1"/>
    </xf>
    <xf numFmtId="0" fontId="2" fillId="0" borderId="12" xfId="0" applyFont="1" applyBorder="1" applyAlignment="1" applyProtection="1">
      <alignment/>
      <protection/>
    </xf>
    <xf numFmtId="0" fontId="4" fillId="0" borderId="12" xfId="0" applyFont="1" applyBorder="1" applyAlignment="1">
      <alignment/>
    </xf>
    <xf numFmtId="0" fontId="0" fillId="0" borderId="12" xfId="0" applyFont="1" applyBorder="1" applyAlignment="1" applyProtection="1">
      <alignment/>
      <protection/>
    </xf>
    <xf numFmtId="168" fontId="2" fillId="0" borderId="12" xfId="0" applyNumberFormat="1" applyFont="1" applyBorder="1" applyAlignment="1" applyProtection="1">
      <alignment/>
      <protection/>
    </xf>
    <xf numFmtId="167" fontId="2" fillId="0" borderId="12" xfId="44" applyNumberFormat="1" applyFont="1" applyBorder="1">
      <alignment horizontal="right" vertical="justify"/>
      <protection/>
    </xf>
    <xf numFmtId="168" fontId="2" fillId="0" borderId="12" xfId="44" applyNumberFormat="1" applyFont="1" applyBorder="1">
      <alignment horizontal="right" vertical="justify"/>
      <protection/>
    </xf>
    <xf numFmtId="0" fontId="0" fillId="0" borderId="12" xfId="0" applyFont="1" applyBorder="1" applyAlignment="1">
      <alignment/>
    </xf>
    <xf numFmtId="170" fontId="0" fillId="0" borderId="0" xfId="0" applyNumberFormat="1" applyFont="1" applyAlignment="1">
      <alignment/>
    </xf>
    <xf numFmtId="0" fontId="0" fillId="0" borderId="0" xfId="0" applyFont="1" applyFill="1" applyAlignment="1" applyProtection="1">
      <alignment horizontal="left"/>
      <protection/>
    </xf>
    <xf numFmtId="0" fontId="2" fillId="0" borderId="0" xfId="0" applyFont="1" applyFill="1" applyAlignment="1" applyProtection="1">
      <alignment/>
      <protection/>
    </xf>
    <xf numFmtId="0" fontId="2" fillId="0" borderId="0" xfId="0" applyFont="1" applyBorder="1" applyAlignment="1">
      <alignment horizontal="center"/>
    </xf>
    <xf numFmtId="0" fontId="6" fillId="0" borderId="0" xfId="0" applyFont="1" applyBorder="1" applyAlignment="1">
      <alignment horizontal="center"/>
    </xf>
    <xf numFmtId="0" fontId="2"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0" fillId="0" borderId="13" xfId="0" applyFont="1" applyBorder="1" applyAlignment="1">
      <alignment/>
    </xf>
    <xf numFmtId="0" fontId="4" fillId="0" borderId="13" xfId="0" applyFont="1" applyBorder="1" applyAlignment="1">
      <alignment/>
    </xf>
    <xf numFmtId="0" fontId="6" fillId="0" borderId="0" xfId="0" applyFont="1" applyBorder="1" applyAlignment="1">
      <alignment horizontal="right"/>
    </xf>
    <xf numFmtId="0" fontId="18" fillId="0" borderId="0" xfId="0" applyFont="1" applyAlignment="1">
      <alignment/>
    </xf>
    <xf numFmtId="170" fontId="0" fillId="0" borderId="0" xfId="0" applyNumberFormat="1" applyFont="1" applyAlignment="1">
      <alignment horizontal="center"/>
    </xf>
    <xf numFmtId="0" fontId="6" fillId="0" borderId="0" xfId="0" applyFont="1" applyFill="1" applyAlignment="1" applyProtection="1">
      <alignment horizontal="right"/>
      <protection/>
    </xf>
    <xf numFmtId="0" fontId="19" fillId="0" borderId="0" xfId="0" applyFont="1" applyFill="1" applyAlignment="1" applyProtection="1">
      <alignment horizontal="center"/>
      <protection/>
    </xf>
    <xf numFmtId="7" fontId="19" fillId="0" borderId="0" xfId="0" applyNumberFormat="1" applyFont="1" applyFill="1" applyAlignment="1" applyProtection="1">
      <alignment horizontal="center"/>
      <protection/>
    </xf>
    <xf numFmtId="168" fontId="0" fillId="0" borderId="0" xfId="0" applyNumberFormat="1" applyAlignment="1" applyProtection="1">
      <alignment/>
      <protection/>
    </xf>
    <xf numFmtId="4" fontId="0" fillId="0" borderId="0" xfId="0" applyNumberFormat="1" applyFont="1" applyAlignment="1" applyProtection="1">
      <alignment vertical="top"/>
      <protection/>
    </xf>
    <xf numFmtId="170" fontId="8" fillId="0" borderId="0" xfId="0" applyNumberFormat="1" applyFont="1" applyFill="1" applyAlignment="1" applyProtection="1">
      <alignment/>
      <protection locked="0"/>
    </xf>
    <xf numFmtId="168" fontId="2" fillId="0" borderId="0" xfId="0" applyNumberFormat="1" applyFont="1" applyFill="1" applyAlignment="1" applyProtection="1">
      <alignment/>
      <protection locked="0"/>
    </xf>
    <xf numFmtId="0" fontId="58" fillId="0" borderId="0" xfId="0" applyFont="1" applyAlignment="1">
      <alignment horizontal="left" readingOrder="1"/>
    </xf>
    <xf numFmtId="0" fontId="59" fillId="0" borderId="0" xfId="0" applyFont="1" applyAlignment="1">
      <alignment horizontal="left" readingOrder="1"/>
    </xf>
    <xf numFmtId="0" fontId="0" fillId="0" borderId="0" xfId="0" applyFont="1" applyAlignment="1">
      <alignment horizontal="center"/>
    </xf>
    <xf numFmtId="0" fontId="58" fillId="0" borderId="0" xfId="0" applyFont="1" applyAlignment="1">
      <alignment vertical="top" wrapText="1" readingOrder="1"/>
    </xf>
    <xf numFmtId="0" fontId="0" fillId="0" borderId="0" xfId="0" applyFont="1" applyAlignment="1">
      <alignment wrapText="1" readingOrder="1"/>
    </xf>
    <xf numFmtId="0" fontId="0" fillId="0" borderId="0" xfId="0" applyFont="1" applyAlignment="1">
      <alignment vertical="top" wrapText="1" readingOrder="1"/>
    </xf>
    <xf numFmtId="168" fontId="2" fillId="0" borderId="0" xfId="0" applyNumberFormat="1" applyFont="1" applyFill="1" applyAlignment="1" applyProtection="1">
      <alignment horizontal="center" vertical="top"/>
      <protection/>
    </xf>
    <xf numFmtId="0" fontId="2" fillId="0" borderId="0" xfId="0" applyFont="1" applyFill="1" applyAlignment="1" applyProtection="1">
      <alignment/>
      <protection/>
    </xf>
    <xf numFmtId="168" fontId="2" fillId="0" borderId="0" xfId="0" applyNumberFormat="1" applyFont="1" applyAlignment="1">
      <alignment horizontal="center"/>
    </xf>
    <xf numFmtId="170" fontId="2" fillId="0" borderId="0" xfId="0" applyNumberFormat="1" applyFont="1" applyAlignment="1">
      <alignment horizontal="center"/>
    </xf>
    <xf numFmtId="5" fontId="8" fillId="0" borderId="0" xfId="0" applyNumberFormat="1" applyFont="1" applyFill="1" applyAlignment="1" applyProtection="1">
      <alignment/>
      <protection locked="0"/>
    </xf>
    <xf numFmtId="0" fontId="8" fillId="0" borderId="0" xfId="0" applyFont="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Alignment="1" applyProtection="1">
      <alignment horizontal="right"/>
      <protection/>
    </xf>
    <xf numFmtId="0" fontId="15" fillId="0" borderId="0" xfId="0" applyFont="1" applyAlignment="1">
      <alignment/>
    </xf>
    <xf numFmtId="168" fontId="0" fillId="0" borderId="0" xfId="55" applyFont="1" applyAlignment="1">
      <alignment horizontal="left" vertical="top" wrapText="1"/>
      <protection/>
    </xf>
    <xf numFmtId="17" fontId="2" fillId="0" borderId="0" xfId="55" applyNumberFormat="1" applyFont="1" applyAlignment="1">
      <alignment vertical="top" wrapText="1"/>
      <protection/>
    </xf>
    <xf numFmtId="0" fontId="0" fillId="0" borderId="0" xfId="0" applyAlignment="1">
      <alignment vertical="top" wrapText="1"/>
    </xf>
    <xf numFmtId="0" fontId="58" fillId="0" borderId="0" xfId="0" applyFont="1" applyAlignment="1">
      <alignment horizontal="left" vertical="top" wrapText="1" readingOrder="1"/>
    </xf>
    <xf numFmtId="168" fontId="24" fillId="0" borderId="0" xfId="55" applyFont="1" applyAlignment="1">
      <alignment horizontal="center" vertical="top" wrapText="1"/>
      <protection/>
    </xf>
    <xf numFmtId="168" fontId="25" fillId="0" borderId="0" xfId="55" applyFont="1" applyAlignment="1">
      <alignment horizontal="center" vertical="top" wrapText="1"/>
      <protection/>
    </xf>
    <xf numFmtId="0" fontId="0" fillId="0" borderId="0" xfId="0" applyFont="1" applyAlignment="1">
      <alignment horizontal="left" vertical="top" wrapText="1" readingOrder="1"/>
    </xf>
    <xf numFmtId="0" fontId="59" fillId="0" borderId="0" xfId="0" applyFont="1" applyAlignment="1">
      <alignment horizontal="left" vertical="top" wrapText="1" readingOrder="1"/>
    </xf>
    <xf numFmtId="168" fontId="0" fillId="0" borderId="0" xfId="55" applyFont="1" applyBorder="1" applyAlignment="1">
      <alignment horizontal="left" vertical="top" wrapText="1"/>
      <protection/>
    </xf>
    <xf numFmtId="0" fontId="5" fillId="0" borderId="0" xfId="0" applyFont="1" applyFill="1" applyBorder="1" applyAlignment="1" applyProtection="1">
      <alignment horizontal="center"/>
      <protection/>
    </xf>
    <xf numFmtId="0" fontId="0" fillId="0" borderId="0" xfId="0" applyAlignment="1">
      <alignment horizontal="center"/>
    </xf>
    <xf numFmtId="0" fontId="17" fillId="0" borderId="0" xfId="0" applyFont="1" applyFill="1" applyBorder="1" applyAlignment="1" applyProtection="1">
      <alignment horizontal="center"/>
      <protection/>
    </xf>
    <xf numFmtId="0" fontId="0" fillId="0" borderId="0" xfId="0" applyFont="1" applyAlignment="1">
      <alignment horizontal="center"/>
    </xf>
    <xf numFmtId="0" fontId="15" fillId="0" borderId="0" xfId="0" applyFont="1" applyBorder="1" applyAlignment="1">
      <alignment horizontal="left" vertical="top" wrapText="1"/>
    </xf>
    <xf numFmtId="0" fontId="16" fillId="0" borderId="0" xfId="0" applyFont="1" applyAlignment="1">
      <alignment horizontal="left" vertical="top" wrapText="1"/>
    </xf>
    <xf numFmtId="0" fontId="2" fillId="0" borderId="12"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6" fillId="0" borderId="0" xfId="0" applyFont="1" applyAlignment="1" applyProtection="1">
      <alignment horizontal="center" vertical="top" wrapText="1"/>
      <protection/>
    </xf>
    <xf numFmtId="0" fontId="5" fillId="0" borderId="0" xfId="0" applyFont="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Font="1" applyAlignment="1" applyProtection="1" quotePrefix="1">
      <alignment horizontal="center" vertical="top" wrapText="1"/>
      <protection/>
    </xf>
    <xf numFmtId="0" fontId="0" fillId="0" borderId="0" xfId="0" applyFont="1" applyAlignment="1" applyProtection="1">
      <alignment horizontal="center" vertical="top" wrapText="1"/>
      <protection/>
    </xf>
    <xf numFmtId="0" fontId="12" fillId="0" borderId="0" xfId="0" applyFont="1" applyAlignment="1" applyProtection="1">
      <alignment horizontal="center" vertical="top" wrapText="1"/>
      <protection/>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arrow-Wean 50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dimension ref="A1:K81"/>
  <sheetViews>
    <sheetView showGridLines="0" tabSelected="1" zoomScalePageLayoutView="0" workbookViewId="0" topLeftCell="A1">
      <selection activeCell="A1" sqref="A1:H1"/>
    </sheetView>
  </sheetViews>
  <sheetFormatPr defaultColWidth="8.88671875" defaultRowHeight="15"/>
  <cols>
    <col min="1" max="1" width="4.6640625" style="14" customWidth="1"/>
    <col min="2" max="2" width="12.88671875" style="14" customWidth="1"/>
    <col min="3" max="3" width="6.88671875" style="14" customWidth="1"/>
    <col min="4" max="7" width="8.88671875" style="14" customWidth="1"/>
    <col min="8" max="8" width="9.77734375" style="14" customWidth="1"/>
    <col min="9" max="10" width="8.88671875" style="14" customWidth="1"/>
    <col min="11" max="11" width="33.6640625" style="14" customWidth="1"/>
    <col min="12" max="16384" width="8.88671875" style="14" customWidth="1"/>
  </cols>
  <sheetData>
    <row r="1" spans="1:8" ht="20.25">
      <c r="A1" s="189" t="s">
        <v>99</v>
      </c>
      <c r="B1" s="189"/>
      <c r="C1" s="189"/>
      <c r="D1" s="189"/>
      <c r="E1" s="189"/>
      <c r="F1" s="189"/>
      <c r="G1" s="189"/>
      <c r="H1" s="189"/>
    </row>
    <row r="2" spans="1:8" ht="26.25">
      <c r="A2" s="190" t="s">
        <v>100</v>
      </c>
      <c r="B2" s="190"/>
      <c r="C2" s="190"/>
      <c r="D2" s="190"/>
      <c r="E2" s="190"/>
      <c r="F2" s="190"/>
      <c r="G2" s="190"/>
      <c r="H2" s="190"/>
    </row>
    <row r="3" spans="1:8" ht="20.25">
      <c r="A3" s="189" t="s">
        <v>305</v>
      </c>
      <c r="B3" s="189"/>
      <c r="C3" s="189"/>
      <c r="D3" s="189"/>
      <c r="E3" s="189"/>
      <c r="F3" s="189"/>
      <c r="G3" s="189"/>
      <c r="H3" s="189"/>
    </row>
    <row r="5" spans="6:8" ht="15.75">
      <c r="F5" s="85" t="s">
        <v>98</v>
      </c>
      <c r="G5" s="186" t="s">
        <v>296</v>
      </c>
      <c r="H5" s="187"/>
    </row>
    <row r="7" ht="15">
      <c r="B7" s="56"/>
    </row>
    <row r="8" ht="15">
      <c r="B8"/>
    </row>
    <row r="9" ht="15">
      <c r="B9"/>
    </row>
    <row r="10" ht="15">
      <c r="B10"/>
    </row>
    <row r="11" ht="15">
      <c r="B11"/>
    </row>
    <row r="12" ht="15">
      <c r="B12"/>
    </row>
    <row r="13" ht="15">
      <c r="K13" s="170"/>
    </row>
    <row r="14" spans="1:11" ht="15" customHeight="1">
      <c r="A14" s="188" t="s">
        <v>325</v>
      </c>
      <c r="B14" s="188"/>
      <c r="C14" s="188"/>
      <c r="D14" s="188"/>
      <c r="E14" s="188"/>
      <c r="F14" s="188"/>
      <c r="G14" s="188"/>
      <c r="H14" s="188"/>
      <c r="K14" s="170"/>
    </row>
    <row r="15" spans="1:11" ht="15">
      <c r="A15" s="188"/>
      <c r="B15" s="188"/>
      <c r="C15" s="188"/>
      <c r="D15" s="188"/>
      <c r="E15" s="188"/>
      <c r="F15" s="188"/>
      <c r="G15" s="188"/>
      <c r="H15" s="188"/>
      <c r="K15" s="170"/>
    </row>
    <row r="16" spans="2:11" ht="15.75">
      <c r="B16" s="173"/>
      <c r="C16" s="173"/>
      <c r="D16" s="173"/>
      <c r="E16" s="173"/>
      <c r="F16" s="173"/>
      <c r="G16" s="173"/>
      <c r="H16" s="173"/>
      <c r="K16" s="171"/>
    </row>
    <row r="17" spans="1:8" ht="15" customHeight="1">
      <c r="A17" s="188" t="s">
        <v>329</v>
      </c>
      <c r="B17" s="188"/>
      <c r="C17" s="188"/>
      <c r="D17" s="188"/>
      <c r="E17" s="188"/>
      <c r="F17" s="188"/>
      <c r="G17" s="188"/>
      <c r="H17" s="188"/>
    </row>
    <row r="18" spans="1:8" ht="15">
      <c r="A18" s="188"/>
      <c r="B18" s="188"/>
      <c r="C18" s="188"/>
      <c r="D18" s="188"/>
      <c r="E18" s="188"/>
      <c r="F18" s="188"/>
      <c r="G18" s="188"/>
      <c r="H18" s="188"/>
    </row>
    <row r="19" spans="1:8" ht="15">
      <c r="A19" s="188"/>
      <c r="B19" s="188"/>
      <c r="C19" s="188"/>
      <c r="D19" s="188"/>
      <c r="E19" s="188"/>
      <c r="F19" s="188"/>
      <c r="G19" s="188"/>
      <c r="H19" s="188"/>
    </row>
    <row r="20" spans="1:8" ht="15.75" customHeight="1">
      <c r="A20" s="188"/>
      <c r="B20" s="188"/>
      <c r="C20" s="188"/>
      <c r="D20" s="188"/>
      <c r="E20" s="188"/>
      <c r="F20" s="188"/>
      <c r="G20" s="188"/>
      <c r="H20" s="188"/>
    </row>
    <row r="21" spans="1:8" ht="15">
      <c r="A21" s="188"/>
      <c r="B21" s="188"/>
      <c r="C21" s="188"/>
      <c r="D21" s="188"/>
      <c r="E21" s="188"/>
      <c r="F21" s="188"/>
      <c r="G21" s="188"/>
      <c r="H21" s="188"/>
    </row>
    <row r="22" spans="1:8" ht="15">
      <c r="A22" s="188"/>
      <c r="B22" s="188"/>
      <c r="C22" s="188"/>
      <c r="D22" s="188"/>
      <c r="E22" s="188"/>
      <c r="F22" s="188"/>
      <c r="G22" s="188"/>
      <c r="H22" s="188"/>
    </row>
    <row r="23" spans="1:8" ht="15">
      <c r="A23" s="173"/>
      <c r="B23" s="173"/>
      <c r="C23" s="173"/>
      <c r="D23" s="173"/>
      <c r="E23" s="173"/>
      <c r="F23" s="173"/>
      <c r="G23" s="173"/>
      <c r="H23" s="173"/>
    </row>
    <row r="24" spans="1:8" ht="15" customHeight="1">
      <c r="A24" s="191" t="s">
        <v>327</v>
      </c>
      <c r="B24" s="191"/>
      <c r="C24" s="191"/>
      <c r="D24" s="191"/>
      <c r="E24" s="191"/>
      <c r="F24" s="191"/>
      <c r="G24" s="191"/>
      <c r="H24" s="191"/>
    </row>
    <row r="25" spans="1:8" ht="15" customHeight="1">
      <c r="A25" s="191"/>
      <c r="B25" s="191"/>
      <c r="C25" s="191"/>
      <c r="D25" s="191"/>
      <c r="E25" s="191"/>
      <c r="F25" s="191"/>
      <c r="G25" s="191"/>
      <c r="H25" s="191"/>
    </row>
    <row r="26" spans="1:8" ht="15">
      <c r="A26" s="191"/>
      <c r="B26" s="191"/>
      <c r="C26" s="191"/>
      <c r="D26" s="191"/>
      <c r="E26" s="191"/>
      <c r="F26" s="191"/>
      <c r="G26" s="191"/>
      <c r="H26" s="191"/>
    </row>
    <row r="27" spans="1:8" ht="15">
      <c r="A27" s="191"/>
      <c r="B27" s="191"/>
      <c r="C27" s="191"/>
      <c r="D27" s="191"/>
      <c r="E27" s="191"/>
      <c r="F27" s="191"/>
      <c r="G27" s="191"/>
      <c r="H27" s="191"/>
    </row>
    <row r="28" spans="1:8" ht="15">
      <c r="A28" s="191"/>
      <c r="B28" s="191"/>
      <c r="C28" s="191"/>
      <c r="D28" s="191"/>
      <c r="E28" s="191"/>
      <c r="F28" s="191"/>
      <c r="G28" s="191"/>
      <c r="H28" s="191"/>
    </row>
    <row r="29" spans="2:8" ht="15">
      <c r="B29" s="174"/>
      <c r="C29" s="174"/>
      <c r="D29" s="174"/>
      <c r="E29" s="174"/>
      <c r="F29" s="174"/>
      <c r="G29" s="174"/>
      <c r="H29" s="174"/>
    </row>
    <row r="30" spans="1:8" ht="15" customHeight="1">
      <c r="A30" s="191" t="s">
        <v>344</v>
      </c>
      <c r="B30" s="191"/>
      <c r="C30" s="191"/>
      <c r="D30" s="191"/>
      <c r="E30" s="191"/>
      <c r="F30" s="191"/>
      <c r="G30" s="191"/>
      <c r="H30" s="191"/>
    </row>
    <row r="31" spans="1:8" ht="15" customHeight="1">
      <c r="A31" s="191"/>
      <c r="B31" s="191"/>
      <c r="C31" s="191"/>
      <c r="D31" s="191"/>
      <c r="E31" s="191"/>
      <c r="F31" s="191"/>
      <c r="G31" s="191"/>
      <c r="H31" s="191"/>
    </row>
    <row r="32" spans="1:8" ht="15">
      <c r="A32" s="191"/>
      <c r="B32" s="191"/>
      <c r="C32" s="191"/>
      <c r="D32" s="191"/>
      <c r="E32" s="191"/>
      <c r="F32" s="191"/>
      <c r="G32" s="191"/>
      <c r="H32" s="191"/>
    </row>
    <row r="33" spans="1:8" ht="15">
      <c r="A33" s="191"/>
      <c r="B33" s="191"/>
      <c r="C33" s="191"/>
      <c r="D33" s="191"/>
      <c r="E33" s="191"/>
      <c r="F33" s="191"/>
      <c r="G33" s="191"/>
      <c r="H33" s="191"/>
    </row>
    <row r="34" spans="1:8" ht="15">
      <c r="A34" s="175"/>
      <c r="B34" s="175"/>
      <c r="C34" s="175"/>
      <c r="D34" s="175"/>
      <c r="E34" s="175"/>
      <c r="F34" s="175"/>
      <c r="G34" s="175"/>
      <c r="H34" s="175"/>
    </row>
    <row r="35" spans="1:8" ht="15" customHeight="1">
      <c r="A35" s="188" t="s">
        <v>326</v>
      </c>
      <c r="B35" s="188"/>
      <c r="C35" s="188"/>
      <c r="D35" s="188"/>
      <c r="E35" s="188"/>
      <c r="F35" s="188"/>
      <c r="G35" s="188"/>
      <c r="H35" s="188"/>
    </row>
    <row r="36" spans="1:8" ht="15" customHeight="1">
      <c r="A36" s="188"/>
      <c r="B36" s="188"/>
      <c r="C36" s="188"/>
      <c r="D36" s="188"/>
      <c r="E36" s="188"/>
      <c r="F36" s="188"/>
      <c r="G36" s="188"/>
      <c r="H36" s="188"/>
    </row>
    <row r="37" spans="1:8" ht="15">
      <c r="A37" s="188"/>
      <c r="B37" s="188"/>
      <c r="C37" s="188"/>
      <c r="D37" s="188"/>
      <c r="E37" s="188"/>
      <c r="F37" s="188"/>
      <c r="G37" s="188"/>
      <c r="H37" s="188"/>
    </row>
    <row r="38" spans="1:8" ht="15">
      <c r="A38" s="188"/>
      <c r="B38" s="188"/>
      <c r="C38" s="188"/>
      <c r="D38" s="188"/>
      <c r="E38" s="188"/>
      <c r="F38" s="188"/>
      <c r="G38" s="188"/>
      <c r="H38" s="188"/>
    </row>
    <row r="39" spans="1:8" ht="15">
      <c r="A39" s="188"/>
      <c r="B39" s="188"/>
      <c r="C39" s="188"/>
      <c r="D39" s="188"/>
      <c r="E39" s="188"/>
      <c r="F39" s="188"/>
      <c r="G39" s="188"/>
      <c r="H39" s="188"/>
    </row>
    <row r="40" spans="2:8" ht="15">
      <c r="B40" s="173"/>
      <c r="C40" s="173"/>
      <c r="D40" s="173"/>
      <c r="E40" s="173"/>
      <c r="F40" s="173"/>
      <c r="G40" s="173"/>
      <c r="H40" s="173"/>
    </row>
    <row r="41" ht="15">
      <c r="B41" s="14"/>
    </row>
    <row r="42" spans="1:8" ht="15.75" customHeight="1">
      <c r="A42" s="192" t="s">
        <v>328</v>
      </c>
      <c r="B42" s="192"/>
      <c r="C42" s="192"/>
      <c r="D42" s="192"/>
      <c r="E42" s="192"/>
      <c r="F42" s="192"/>
      <c r="G42" s="192"/>
      <c r="H42" s="192"/>
    </row>
    <row r="43" spans="1:8" ht="15" customHeight="1">
      <c r="A43" s="192"/>
      <c r="B43" s="192"/>
      <c r="C43" s="192"/>
      <c r="D43" s="192"/>
      <c r="E43" s="192"/>
      <c r="F43" s="192"/>
      <c r="G43" s="192"/>
      <c r="H43" s="192"/>
    </row>
    <row r="44" spans="1:8" ht="15" customHeight="1">
      <c r="A44" s="192"/>
      <c r="B44" s="192"/>
      <c r="C44" s="192"/>
      <c r="D44" s="192"/>
      <c r="E44" s="192"/>
      <c r="F44" s="192"/>
      <c r="G44" s="192"/>
      <c r="H44" s="192"/>
    </row>
    <row r="45" spans="1:8" ht="15" customHeight="1">
      <c r="A45" s="192"/>
      <c r="B45" s="192"/>
      <c r="C45" s="192"/>
      <c r="D45" s="192"/>
      <c r="E45" s="192"/>
      <c r="F45" s="192"/>
      <c r="G45" s="192"/>
      <c r="H45" s="192"/>
    </row>
    <row r="46" spans="1:8" ht="15" customHeight="1">
      <c r="A46" s="192"/>
      <c r="B46" s="192"/>
      <c r="C46" s="192"/>
      <c r="D46" s="192"/>
      <c r="E46" s="192"/>
      <c r="F46" s="192"/>
      <c r="G46" s="192"/>
      <c r="H46" s="192"/>
    </row>
    <row r="47" spans="1:8" ht="15">
      <c r="A47" s="192"/>
      <c r="B47" s="192"/>
      <c r="C47" s="192"/>
      <c r="D47" s="192"/>
      <c r="E47" s="192"/>
      <c r="F47" s="192"/>
      <c r="G47" s="192"/>
      <c r="H47" s="192"/>
    </row>
    <row r="48" ht="15"/>
    <row r="49" ht="15"/>
    <row r="50" ht="15"/>
    <row r="51" ht="15"/>
    <row r="52" spans="2:3" ht="15">
      <c r="B52" s="42"/>
      <c r="C52" s="43"/>
    </row>
    <row r="53" spans="1:8" ht="15" customHeight="1">
      <c r="A53" s="193" t="s">
        <v>278</v>
      </c>
      <c r="B53" s="193"/>
      <c r="C53" s="193"/>
      <c r="D53" s="193"/>
      <c r="E53" s="193"/>
      <c r="F53" s="193"/>
      <c r="G53" s="193"/>
      <c r="H53" s="193"/>
    </row>
    <row r="54" spans="1:8" ht="15" customHeight="1">
      <c r="A54" s="193"/>
      <c r="B54" s="193"/>
      <c r="C54" s="193"/>
      <c r="D54" s="193"/>
      <c r="E54" s="193"/>
      <c r="F54" s="193"/>
      <c r="G54" s="193"/>
      <c r="H54" s="193"/>
    </row>
    <row r="55" spans="1:8" ht="15">
      <c r="A55" s="193"/>
      <c r="B55" s="193"/>
      <c r="C55" s="193"/>
      <c r="D55" s="193"/>
      <c r="E55" s="193"/>
      <c r="F55" s="193"/>
      <c r="G55" s="193"/>
      <c r="H55" s="193"/>
    </row>
    <row r="56" spans="1:8" ht="15">
      <c r="A56" s="193"/>
      <c r="B56" s="193"/>
      <c r="C56" s="193"/>
      <c r="D56" s="193"/>
      <c r="E56" s="193"/>
      <c r="F56" s="193"/>
      <c r="G56" s="193"/>
      <c r="H56" s="193"/>
    </row>
    <row r="57" spans="1:8" ht="15">
      <c r="A57" s="193"/>
      <c r="B57" s="193"/>
      <c r="C57" s="193"/>
      <c r="D57" s="193"/>
      <c r="E57" s="193"/>
      <c r="F57" s="193"/>
      <c r="G57" s="193"/>
      <c r="H57" s="193"/>
    </row>
    <row r="58" spans="2:8" ht="15">
      <c r="B58" s="41"/>
      <c r="C58" s="41"/>
      <c r="D58" s="41"/>
      <c r="E58" s="41"/>
      <c r="F58" s="41"/>
      <c r="G58" s="41"/>
      <c r="H58" s="41"/>
    </row>
    <row r="59" spans="1:8" ht="15" customHeight="1">
      <c r="A59" s="193" t="s">
        <v>280</v>
      </c>
      <c r="B59" s="193"/>
      <c r="C59" s="193"/>
      <c r="D59" s="193"/>
      <c r="E59" s="193"/>
      <c r="F59" s="193"/>
      <c r="G59" s="193"/>
      <c r="H59" s="193"/>
    </row>
    <row r="60" spans="1:8" ht="15">
      <c r="A60" s="193"/>
      <c r="B60" s="193"/>
      <c r="C60" s="193"/>
      <c r="D60" s="193"/>
      <c r="E60" s="193"/>
      <c r="F60" s="193"/>
      <c r="G60" s="193"/>
      <c r="H60" s="193"/>
    </row>
    <row r="61" spans="1:8" ht="15">
      <c r="A61" s="193"/>
      <c r="B61" s="193"/>
      <c r="C61" s="193"/>
      <c r="D61" s="193"/>
      <c r="E61" s="193"/>
      <c r="F61" s="193"/>
      <c r="G61" s="193"/>
      <c r="H61" s="193"/>
    </row>
    <row r="62" spans="1:8" ht="15">
      <c r="A62" s="193"/>
      <c r="B62" s="193"/>
      <c r="C62" s="193"/>
      <c r="D62" s="193"/>
      <c r="E62" s="193"/>
      <c r="F62" s="193"/>
      <c r="G62" s="193"/>
      <c r="H62" s="193"/>
    </row>
    <row r="63" spans="1:8" ht="15">
      <c r="A63" s="193"/>
      <c r="B63" s="193"/>
      <c r="C63" s="193"/>
      <c r="D63" s="193"/>
      <c r="E63" s="193"/>
      <c r="F63" s="193"/>
      <c r="G63" s="193"/>
      <c r="H63" s="193"/>
    </row>
    <row r="64" spans="1:8" ht="15">
      <c r="A64" s="193"/>
      <c r="B64" s="193"/>
      <c r="C64" s="193"/>
      <c r="D64" s="193"/>
      <c r="E64" s="193"/>
      <c r="F64" s="193"/>
      <c r="G64" s="193"/>
      <c r="H64" s="193"/>
    </row>
    <row r="65" spans="1:8" ht="15">
      <c r="A65" s="193"/>
      <c r="B65" s="193"/>
      <c r="C65" s="193"/>
      <c r="D65" s="193"/>
      <c r="E65" s="193"/>
      <c r="F65" s="193"/>
      <c r="G65" s="193"/>
      <c r="H65" s="193"/>
    </row>
    <row r="66" spans="1:8" ht="15">
      <c r="A66" s="193"/>
      <c r="B66" s="193"/>
      <c r="C66" s="193"/>
      <c r="D66" s="193"/>
      <c r="E66" s="193"/>
      <c r="F66" s="193"/>
      <c r="G66" s="193"/>
      <c r="H66" s="193"/>
    </row>
    <row r="67" spans="1:8" ht="15">
      <c r="A67" s="193"/>
      <c r="B67" s="193"/>
      <c r="C67" s="193"/>
      <c r="D67" s="193"/>
      <c r="E67" s="193"/>
      <c r="F67" s="193"/>
      <c r="G67" s="193"/>
      <c r="H67" s="193"/>
    </row>
    <row r="68" spans="2:3" ht="15">
      <c r="B68" s="43"/>
      <c r="C68" s="43"/>
    </row>
    <row r="69" spans="1:8" ht="15" customHeight="1">
      <c r="A69" s="185" t="s">
        <v>279</v>
      </c>
      <c r="B69" s="185"/>
      <c r="C69" s="185"/>
      <c r="D69" s="185"/>
      <c r="E69" s="185"/>
      <c r="F69" s="185"/>
      <c r="G69" s="185"/>
      <c r="H69" s="185"/>
    </row>
    <row r="70" spans="1:8" ht="15">
      <c r="A70" s="185"/>
      <c r="B70" s="185"/>
      <c r="C70" s="185"/>
      <c r="D70" s="185"/>
      <c r="E70" s="185"/>
      <c r="F70" s="185"/>
      <c r="G70" s="185"/>
      <c r="H70" s="185"/>
    </row>
    <row r="71" spans="1:8" ht="15">
      <c r="A71" s="185"/>
      <c r="B71" s="185"/>
      <c r="C71" s="185"/>
      <c r="D71" s="185"/>
      <c r="E71" s="185"/>
      <c r="F71" s="185"/>
      <c r="G71" s="185"/>
      <c r="H71" s="185"/>
    </row>
    <row r="72" spans="1:8" ht="15">
      <c r="A72" s="185"/>
      <c r="B72" s="185"/>
      <c r="C72" s="185"/>
      <c r="D72" s="185"/>
      <c r="E72" s="185"/>
      <c r="F72" s="185"/>
      <c r="G72" s="185"/>
      <c r="H72" s="185"/>
    </row>
    <row r="73" spans="1:8" ht="15">
      <c r="A73" s="185"/>
      <c r="B73" s="185"/>
      <c r="C73" s="185"/>
      <c r="D73" s="185"/>
      <c r="E73" s="185"/>
      <c r="F73" s="185"/>
      <c r="G73" s="185"/>
      <c r="H73" s="185"/>
    </row>
    <row r="74" spans="1:8" ht="15">
      <c r="A74" s="185"/>
      <c r="B74" s="185"/>
      <c r="C74" s="185"/>
      <c r="D74" s="185"/>
      <c r="E74" s="185"/>
      <c r="F74" s="185"/>
      <c r="G74" s="185"/>
      <c r="H74" s="185"/>
    </row>
    <row r="75" spans="2:4" ht="15">
      <c r="B75" s="41"/>
      <c r="C75" s="41"/>
      <c r="D75" s="41"/>
    </row>
    <row r="76" spans="2:4" ht="15">
      <c r="B76" s="41"/>
      <c r="C76" s="41"/>
      <c r="D76" s="41"/>
    </row>
    <row r="77" spans="2:4" ht="15">
      <c r="B77" s="41"/>
      <c r="C77" s="41"/>
      <c r="D77" s="41"/>
    </row>
    <row r="78" spans="2:4" ht="15">
      <c r="B78" s="41"/>
      <c r="C78" s="41"/>
      <c r="D78" s="41"/>
    </row>
    <row r="79" spans="2:4" ht="15">
      <c r="B79" s="41"/>
      <c r="C79" s="41"/>
      <c r="D79" s="41"/>
    </row>
    <row r="80" spans="2:4" ht="15">
      <c r="B80" s="41"/>
      <c r="C80" s="41"/>
      <c r="D80" s="41"/>
    </row>
    <row r="81" spans="2:4" ht="15">
      <c r="B81" s="41"/>
      <c r="C81" s="41"/>
      <c r="D81" s="41"/>
    </row>
  </sheetData>
  <sheetProtection password="C6A6" sheet="1" objects="1" scenarios="1"/>
  <mergeCells count="13">
    <mergeCell ref="A69:H74"/>
    <mergeCell ref="G5:H5"/>
    <mergeCell ref="A14:H15"/>
    <mergeCell ref="A1:H1"/>
    <mergeCell ref="A2:H2"/>
    <mergeCell ref="A3:H3"/>
    <mergeCell ref="A24:H28"/>
    <mergeCell ref="A17:H22"/>
    <mergeCell ref="A30:H33"/>
    <mergeCell ref="A35:H39"/>
    <mergeCell ref="A42:H47"/>
    <mergeCell ref="A53:H57"/>
    <mergeCell ref="A59:H67"/>
  </mergeCells>
  <printOptions horizontalCentered="1"/>
  <pageMargins left="0.7480314960629921" right="0.7480314960629921" top="0.8661417322834646" bottom="0.7874015748031497" header="0.5118110236220472" footer="0.5118110236220472"/>
  <pageSetup horizontalDpi="300" verticalDpi="300" orientation="portrait" scale="91" r:id="rId2"/>
  <rowBreaks count="1" manualBreakCount="1">
    <brk id="48" max="7" man="1"/>
  </rowBreaks>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J62"/>
  <sheetViews>
    <sheetView showGridLines="0" zoomScalePageLayoutView="0" workbookViewId="0" topLeftCell="A16">
      <selection activeCell="C11" sqref="C11"/>
    </sheetView>
  </sheetViews>
  <sheetFormatPr defaultColWidth="8.88671875" defaultRowHeight="15"/>
  <cols>
    <col min="1" max="1" width="3.3359375" style="2" customWidth="1"/>
    <col min="2" max="2" width="3.77734375" style="2" customWidth="1"/>
    <col min="3" max="3" width="8.88671875" style="2" customWidth="1"/>
    <col min="4" max="4" width="5.3359375" style="2" customWidth="1"/>
    <col min="5" max="5" width="7.77734375" style="2" customWidth="1"/>
    <col min="6" max="6" width="13.3359375" style="2" customWidth="1"/>
    <col min="7" max="7" width="13.88671875" style="2" customWidth="1"/>
    <col min="8" max="8" width="13.3359375" style="2" customWidth="1"/>
    <col min="9" max="9" width="1.88671875" style="2" customWidth="1"/>
    <col min="10" max="10" width="12.21484375" style="1" customWidth="1"/>
    <col min="11" max="16384" width="8.88671875" style="1" customWidth="1"/>
  </cols>
  <sheetData>
    <row r="1" spans="2:10" ht="16.5">
      <c r="B1" s="15" t="s">
        <v>0</v>
      </c>
      <c r="C1" s="16"/>
      <c r="D1" s="16"/>
      <c r="E1" s="16"/>
      <c r="F1" s="16"/>
      <c r="G1" s="16"/>
      <c r="H1" s="16"/>
      <c r="I1" s="16"/>
      <c r="J1" s="17"/>
    </row>
    <row r="2" spans="2:10" ht="18">
      <c r="B2" s="194" t="str">
        <f>"Strawberry U-Pick - Cost of Production Summary     "&amp;Introduction!G5</f>
        <v>Strawberry U-Pick - Cost of Production Summary     November, 2012</v>
      </c>
      <c r="C2" s="195"/>
      <c r="D2" s="195"/>
      <c r="E2" s="195"/>
      <c r="F2" s="195"/>
      <c r="G2" s="195"/>
      <c r="H2" s="195"/>
      <c r="I2" s="195"/>
      <c r="J2" s="195"/>
    </row>
    <row r="3" spans="2:10" ht="16.5">
      <c r="B3" s="196" t="str">
        <f>"Based on  "&amp;Input!E2&amp;" acres"</f>
        <v>Based on  10 acres</v>
      </c>
      <c r="C3" s="197"/>
      <c r="D3" s="197"/>
      <c r="E3" s="197"/>
      <c r="F3" s="197"/>
      <c r="G3" s="197"/>
      <c r="H3" s="197"/>
      <c r="I3" s="197"/>
      <c r="J3" s="197"/>
    </row>
    <row r="4" spans="2:10" ht="18">
      <c r="B4" s="15"/>
      <c r="C4" s="112"/>
      <c r="D4" s="16"/>
      <c r="E4" s="16"/>
      <c r="F4" s="16"/>
      <c r="G4" s="16"/>
      <c r="J4" s="17"/>
    </row>
    <row r="5" spans="2:10" ht="17.25" customHeight="1" thickBot="1">
      <c r="B5" s="15"/>
      <c r="C5" s="15"/>
      <c r="D5" s="15"/>
      <c r="E5" s="15"/>
      <c r="F5" s="32" t="s">
        <v>151</v>
      </c>
      <c r="G5" s="200" t="s">
        <v>341</v>
      </c>
      <c r="H5" s="201"/>
      <c r="I5" s="40"/>
      <c r="J5" s="17"/>
    </row>
    <row r="6" spans="1:10" ht="16.5">
      <c r="A6" s="7" t="s">
        <v>35</v>
      </c>
      <c r="F6" s="33" t="s">
        <v>86</v>
      </c>
      <c r="G6" s="11" t="s">
        <v>101</v>
      </c>
      <c r="H6" s="183" t="s">
        <v>269</v>
      </c>
      <c r="I6" s="36"/>
      <c r="J6" s="33" t="s">
        <v>69</v>
      </c>
    </row>
    <row r="7" spans="2:10" ht="16.5">
      <c r="B7" s="15" t="s">
        <v>150</v>
      </c>
      <c r="F7" s="39">
        <f>'Establish Details'!D15</f>
        <v>1219.5</v>
      </c>
      <c r="G7" s="49">
        <f>F35/COUNTA(Input!E12:E16)</f>
        <v>1842.1590500000002</v>
      </c>
      <c r="H7" s="104">
        <f>ROUND(G7/Input!$E$18,4)</f>
        <v>0.3432</v>
      </c>
      <c r="I7" s="30"/>
      <c r="J7" s="18"/>
    </row>
    <row r="8" spans="2:10" ht="16.5">
      <c r="B8" s="15" t="s">
        <v>27</v>
      </c>
      <c r="F8" s="39">
        <f>'Establish Details'!D49</f>
        <v>131.45000000000002</v>
      </c>
      <c r="G8" s="49">
        <f>'Picking Details'!D36</f>
        <v>129.7</v>
      </c>
      <c r="H8" s="104">
        <f>ROUND(G8/Input!$E$18,4)</f>
        <v>0.0242</v>
      </c>
      <c r="I8" s="30"/>
      <c r="J8" s="19"/>
    </row>
    <row r="9" spans="2:10" ht="16.5">
      <c r="B9" s="15" t="s">
        <v>74</v>
      </c>
      <c r="F9" s="39">
        <f>'Establish Details'!D62</f>
        <v>26</v>
      </c>
      <c r="G9" s="49">
        <f>'Picking Details'!D41</f>
        <v>40</v>
      </c>
      <c r="H9" s="104">
        <f>ROUND(G9/Input!$E$18,4)</f>
        <v>0.0075</v>
      </c>
      <c r="I9" s="30"/>
      <c r="J9" s="19"/>
    </row>
    <row r="10" spans="2:10" ht="16.5">
      <c r="B10" s="15" t="s">
        <v>177</v>
      </c>
      <c r="F10" s="39">
        <f>'Establish Details'!D75</f>
        <v>0</v>
      </c>
      <c r="G10" s="49">
        <f>'Picking Details'!D46</f>
        <v>36</v>
      </c>
      <c r="H10" s="104">
        <f>ROUND(G10/Input!$E$18,4)</f>
        <v>0.0067</v>
      </c>
      <c r="I10" s="30"/>
      <c r="J10" s="19"/>
    </row>
    <row r="11" spans="2:10" ht="16.5">
      <c r="B11" s="15" t="s">
        <v>178</v>
      </c>
      <c r="F11" s="39">
        <f>'Establish Details'!D88</f>
        <v>0</v>
      </c>
      <c r="G11" s="49">
        <f>'Picking Details'!D51</f>
        <v>45</v>
      </c>
      <c r="H11" s="104">
        <f>ROUND(G11/Input!$E$18,4)</f>
        <v>0.0084</v>
      </c>
      <c r="I11" s="30"/>
      <c r="J11" s="19"/>
    </row>
    <row r="12" spans="2:10" ht="16.5">
      <c r="B12" s="15" t="s">
        <v>179</v>
      </c>
      <c r="F12" s="39">
        <f>'Establish Details'!H113</f>
        <v>54.375375000000005</v>
      </c>
      <c r="G12" s="49">
        <f>'Picking Details'!H62</f>
        <v>33.29</v>
      </c>
      <c r="H12" s="104">
        <f>ROUND(G12/Input!$E$18,4)</f>
        <v>0.0062</v>
      </c>
      <c r="I12" s="30"/>
      <c r="J12" s="19"/>
    </row>
    <row r="13" spans="2:10" ht="16.5">
      <c r="B13" s="15" t="s">
        <v>143</v>
      </c>
      <c r="F13" s="39">
        <f>'Establish Details'!D126</f>
        <v>60</v>
      </c>
      <c r="G13" s="49">
        <f>'Picking Details'!D68</f>
        <v>240</v>
      </c>
      <c r="H13" s="104">
        <f>ROUND(G13/Input!$E$18,4)</f>
        <v>0.0447</v>
      </c>
      <c r="I13" s="30"/>
      <c r="J13" s="19"/>
    </row>
    <row r="14" spans="2:10" ht="16.5">
      <c r="B14" s="15" t="s">
        <v>180</v>
      </c>
      <c r="F14" s="39">
        <f>'Establish Details'!D132</f>
        <v>0</v>
      </c>
      <c r="G14" s="49">
        <f>'Picking Details'!D73</f>
        <v>12</v>
      </c>
      <c r="H14" s="104">
        <f>ROUND(G14/Input!$E$18,4)</f>
        <v>0.0022</v>
      </c>
      <c r="I14" s="30"/>
      <c r="J14" s="19"/>
    </row>
    <row r="15" spans="2:10" ht="16.5">
      <c r="B15" s="15" t="s">
        <v>181</v>
      </c>
      <c r="F15" s="30">
        <f>'Establish Details'!D137</f>
        <v>240.9375</v>
      </c>
      <c r="G15" s="50">
        <f>'Picking Details'!D78</f>
        <v>240.94</v>
      </c>
      <c r="H15" s="104">
        <f>ROUND(G15/Input!$E$18,4)</f>
        <v>0.0449</v>
      </c>
      <c r="I15" s="30"/>
      <c r="J15" s="19"/>
    </row>
    <row r="16" spans="2:10" ht="16.5">
      <c r="B16" s="15" t="s">
        <v>247</v>
      </c>
      <c r="F16" s="30">
        <f>'Establish Details'!D143+'Establish Details'!D147</f>
        <v>320</v>
      </c>
      <c r="G16" s="50">
        <f>'Picking Details'!D85+'Picking Details'!D89</f>
        <v>345.08</v>
      </c>
      <c r="H16" s="104">
        <f>ROUND(G16/Input!$E$18,4)</f>
        <v>0.0643</v>
      </c>
      <c r="I16" s="30"/>
      <c r="J16" s="19"/>
    </row>
    <row r="17" spans="2:10" ht="16.5">
      <c r="B17" s="15" t="s">
        <v>248</v>
      </c>
      <c r="F17" s="31">
        <f>'Establish Details'!D152</f>
        <v>12</v>
      </c>
      <c r="G17" s="51">
        <f>'Establish Details'!D150</f>
        <v>6</v>
      </c>
      <c r="H17" s="117">
        <f>ROUND(G17/Input!$E$18,4)</f>
        <v>0.0011</v>
      </c>
      <c r="I17" s="30"/>
      <c r="J17" s="19"/>
    </row>
    <row r="18" spans="2:10" ht="16.5">
      <c r="B18" s="15" t="s">
        <v>28</v>
      </c>
      <c r="F18" s="21">
        <f>ROUND(SUM(F7:F17),2)</f>
        <v>2064.26</v>
      </c>
      <c r="G18" s="45">
        <f>ROUND(SUM(G7:G17),2)</f>
        <v>2970.17</v>
      </c>
      <c r="H18" s="105">
        <f>ROUND(SUM(H7:H17),2)</f>
        <v>0.55</v>
      </c>
      <c r="I18" s="45"/>
      <c r="J18" s="19"/>
    </row>
    <row r="19" spans="2:10" ht="16.5">
      <c r="B19" s="15" t="s">
        <v>249</v>
      </c>
      <c r="F19" s="31">
        <f>'Establish Details'!D158</f>
        <v>56.76715000000001</v>
      </c>
      <c r="G19" s="51">
        <f>'Picking Details'!D98</f>
        <v>81.679675</v>
      </c>
      <c r="H19" s="106">
        <f>ROUND(G19/Input!$E$18,4)</f>
        <v>0.0152</v>
      </c>
      <c r="I19" s="30"/>
      <c r="J19" s="19"/>
    </row>
    <row r="20" spans="2:10" ht="16.5">
      <c r="B20" s="7" t="s">
        <v>29</v>
      </c>
      <c r="F20" s="34">
        <f>F18+F19</f>
        <v>2121.0271500000003</v>
      </c>
      <c r="G20" s="52">
        <f>G18+G19</f>
        <v>3051.849675</v>
      </c>
      <c r="H20" s="107">
        <f>ROUND(H18+H19,4)</f>
        <v>0.5652</v>
      </c>
      <c r="I20" s="23"/>
      <c r="J20" s="19"/>
    </row>
    <row r="21" spans="2:10" ht="7.5" customHeight="1">
      <c r="B21" s="15"/>
      <c r="C21" s="15"/>
      <c r="D21" s="15"/>
      <c r="E21" s="15"/>
      <c r="F21" s="15"/>
      <c r="G21" s="44"/>
      <c r="J21" s="15"/>
    </row>
    <row r="22" spans="1:10" ht="16.5">
      <c r="A22" s="7" t="s">
        <v>45</v>
      </c>
      <c r="B22" s="1"/>
      <c r="G22" s="54"/>
      <c r="J22" s="15"/>
    </row>
    <row r="23" spans="1:10" ht="16.5">
      <c r="A23" s="20" t="s">
        <v>58</v>
      </c>
      <c r="B23" s="7"/>
      <c r="C23" s="15"/>
      <c r="D23" s="15"/>
      <c r="E23" s="15"/>
      <c r="F23" s="15"/>
      <c r="G23" s="44"/>
      <c r="J23" s="15"/>
    </row>
    <row r="24" spans="1:10" ht="16.5">
      <c r="A24" s="15"/>
      <c r="B24" s="15" t="s">
        <v>30</v>
      </c>
      <c r="C24" s="15"/>
      <c r="D24" s="15"/>
      <c r="E24" s="15"/>
      <c r="F24" s="21">
        <f>'Establish Details'!D168</f>
        <v>1354.07</v>
      </c>
      <c r="G24" s="45">
        <f>'Picking Details'!D109</f>
        <v>669.16</v>
      </c>
      <c r="H24" s="108">
        <f>ROUND(G24/Input!$E$18,4)</f>
        <v>0.1247</v>
      </c>
      <c r="I24" s="30"/>
      <c r="J24" s="18"/>
    </row>
    <row r="25" spans="1:10" ht="16.5">
      <c r="A25" s="15"/>
      <c r="B25" s="15" t="s">
        <v>31</v>
      </c>
      <c r="C25" s="15"/>
      <c r="D25" s="15"/>
      <c r="E25" s="15"/>
      <c r="F25" s="21">
        <f>'Establish Details'!D175</f>
        <v>596.625</v>
      </c>
      <c r="G25" s="45">
        <f>'Picking Details'!D115</f>
        <v>298.3125</v>
      </c>
      <c r="H25" s="108">
        <f>ROUND(G25/Input!$E$18,4)</f>
        <v>0.0556</v>
      </c>
      <c r="I25" s="30"/>
      <c r="J25" s="19"/>
    </row>
    <row r="26" spans="1:10" ht="16.5">
      <c r="A26" s="20" t="s">
        <v>57</v>
      </c>
      <c r="B26" s="7"/>
      <c r="C26" s="15"/>
      <c r="D26" s="15"/>
      <c r="E26" s="15"/>
      <c r="F26" s="15"/>
      <c r="G26" s="44"/>
      <c r="H26" s="108"/>
      <c r="I26" s="30"/>
      <c r="J26" s="15"/>
    </row>
    <row r="27" spans="1:10" ht="16.5">
      <c r="A27" s="15"/>
      <c r="B27" s="15" t="s">
        <v>32</v>
      </c>
      <c r="C27" s="15"/>
      <c r="D27" s="15"/>
      <c r="E27" s="15"/>
      <c r="F27" s="21">
        <f>'Establish Details'!D184</f>
        <v>120</v>
      </c>
      <c r="G27" s="45">
        <f>'Picking Details'!D124</f>
        <v>60</v>
      </c>
      <c r="H27" s="108">
        <f>ROUND(G27/Input!$E$18,4)</f>
        <v>0.0112</v>
      </c>
      <c r="I27" s="30"/>
      <c r="J27" s="18"/>
    </row>
    <row r="28" spans="1:10" ht="16.5">
      <c r="A28" s="15"/>
      <c r="B28" s="15" t="s">
        <v>33</v>
      </c>
      <c r="C28" s="15"/>
      <c r="D28" s="15"/>
      <c r="E28" s="15"/>
      <c r="F28" s="21">
        <f>'Establish Details'!D192</f>
        <v>226.33</v>
      </c>
      <c r="G28" s="45">
        <f>'Picking Details'!D131</f>
        <v>113.17</v>
      </c>
      <c r="H28" s="108">
        <f>ROUND(G28/Input!$E$18,4)</f>
        <v>0.0211</v>
      </c>
      <c r="I28" s="30"/>
      <c r="J28" s="19"/>
    </row>
    <row r="29" spans="1:10" ht="16.5">
      <c r="A29" s="15"/>
      <c r="B29" s="15" t="s">
        <v>47</v>
      </c>
      <c r="C29" s="15"/>
      <c r="D29" s="15"/>
      <c r="E29" s="15"/>
      <c r="F29" s="22">
        <f>'Establish Details'!D200</f>
        <v>158.175</v>
      </c>
      <c r="G29" s="55">
        <f>'Picking Details'!D138</f>
        <v>79.0875</v>
      </c>
      <c r="H29" s="106">
        <f>ROUND(G29/Input!$E$18,4)</f>
        <v>0.0147</v>
      </c>
      <c r="I29" s="31"/>
      <c r="J29" s="19"/>
    </row>
    <row r="30" spans="1:10" ht="16.5">
      <c r="A30" s="15"/>
      <c r="B30" s="7" t="s">
        <v>34</v>
      </c>
      <c r="C30" s="15"/>
      <c r="D30" s="15"/>
      <c r="E30" s="15"/>
      <c r="F30" s="23">
        <f>SUM(F24:F29)</f>
        <v>2455.2</v>
      </c>
      <c r="G30" s="53">
        <f>SUM(G24:G29)</f>
        <v>1219.73</v>
      </c>
      <c r="H30" s="109">
        <f>ROUND(SUM(H24:H29),4)</f>
        <v>0.2273</v>
      </c>
      <c r="I30" s="37"/>
      <c r="J30" s="19"/>
    </row>
    <row r="31" spans="1:10" ht="16.5">
      <c r="A31" s="7" t="s">
        <v>316</v>
      </c>
      <c r="B31" s="1"/>
      <c r="C31" s="15"/>
      <c r="D31" s="15"/>
      <c r="E31" s="15"/>
      <c r="F31" s="23">
        <f>SUM(F30+F20)</f>
        <v>4576.227150000001</v>
      </c>
      <c r="G31" s="23">
        <f>SUM(G30+G20)</f>
        <v>4271.579675</v>
      </c>
      <c r="H31" s="23">
        <f>SUM(H30+H20)</f>
        <v>0.7925</v>
      </c>
      <c r="I31" s="37"/>
      <c r="J31" s="18"/>
    </row>
    <row r="32" spans="2:10" ht="7.5" customHeight="1">
      <c r="B32" s="15"/>
      <c r="C32" s="15"/>
      <c r="D32" s="15"/>
      <c r="E32" s="15"/>
      <c r="F32" s="15"/>
      <c r="G32" s="44"/>
      <c r="H32" s="108"/>
      <c r="J32" s="15"/>
    </row>
    <row r="33" spans="1:10" ht="16.5">
      <c r="A33" s="7" t="s">
        <v>66</v>
      </c>
      <c r="B33" s="1"/>
      <c r="C33" s="1"/>
      <c r="D33" s="1"/>
      <c r="E33" s="1"/>
      <c r="F33" s="34">
        <f>'Establish Details'!D209</f>
        <v>950.25</v>
      </c>
      <c r="G33" s="52">
        <f>'Picking Details'!D148</f>
        <v>1517.3333333333335</v>
      </c>
      <c r="H33" s="110">
        <f>ROUND(G33/Input!$E$18,4)</f>
        <v>0.2827</v>
      </c>
      <c r="I33" s="34"/>
      <c r="J33" s="18"/>
    </row>
    <row r="34" spans="2:10" ht="7.5" customHeight="1">
      <c r="B34" s="15"/>
      <c r="C34" s="15"/>
      <c r="D34" s="15"/>
      <c r="E34" s="15"/>
      <c r="F34" s="15"/>
      <c r="G34" s="44"/>
      <c r="H34" s="108"/>
      <c r="J34" s="15"/>
    </row>
    <row r="35" spans="1:10" ht="16.5">
      <c r="A35" s="7" t="s">
        <v>67</v>
      </c>
      <c r="B35" s="1"/>
      <c r="C35" s="15"/>
      <c r="D35" s="15"/>
      <c r="E35" s="15"/>
      <c r="F35" s="23">
        <f>F20+F30+F33</f>
        <v>5526.477150000001</v>
      </c>
      <c r="G35" s="53">
        <f>G20+G30+G33</f>
        <v>5788.913008333333</v>
      </c>
      <c r="H35" s="109">
        <f>H20+H30+H33</f>
        <v>1.0752</v>
      </c>
      <c r="I35" s="37"/>
      <c r="J35" s="18"/>
    </row>
    <row r="36" spans="1:10" ht="7.5" customHeight="1" thickBot="1">
      <c r="A36" s="144"/>
      <c r="B36" s="145"/>
      <c r="C36" s="146"/>
      <c r="D36" s="146"/>
      <c r="E36" s="146"/>
      <c r="F36" s="147"/>
      <c r="G36" s="147"/>
      <c r="H36" s="148"/>
      <c r="I36" s="149"/>
      <c r="J36" s="146"/>
    </row>
    <row r="37" ht="7.5" customHeight="1"/>
    <row r="38" spans="1:8" ht="16.5">
      <c r="A38" s="25" t="s">
        <v>306</v>
      </c>
      <c r="G38" s="160" t="s">
        <v>308</v>
      </c>
      <c r="H38" s="29" t="str">
        <f>Input!E2&amp;" Acre Total"</f>
        <v>10 Acre Total</v>
      </c>
    </row>
    <row r="39" spans="2:10" ht="16.5">
      <c r="B39" s="2" t="s">
        <v>307</v>
      </c>
      <c r="G39" s="30">
        <f>SUM(Input!E19*Input!E18)</f>
        <v>11270.7</v>
      </c>
      <c r="H39" s="151">
        <f>SUM(G39*Input!E2)</f>
        <v>112707</v>
      </c>
      <c r="J39" s="18"/>
    </row>
    <row r="40" ht="16.5">
      <c r="B40" s="184" t="str">
        <f>"($"&amp;TEXT(Input!$E19,"0.00")&amp;" market price per lb., "&amp;Input!E18&amp;" lbs. avg. yield for each of "&amp;COUNTA(Input!E12:E16)&amp;" picking years)"</f>
        <v>($2.10 market price per lb., 5367 lbs. avg. yield for each of 3 picking years)</v>
      </c>
    </row>
    <row r="41" spans="1:10" ht="7.5" customHeight="1" thickBot="1">
      <c r="A41" s="150"/>
      <c r="B41" s="150"/>
      <c r="C41" s="150"/>
      <c r="D41" s="150"/>
      <c r="E41" s="150"/>
      <c r="F41" s="150"/>
      <c r="G41" s="150"/>
      <c r="H41" s="150"/>
      <c r="I41" s="150"/>
      <c r="J41" s="145"/>
    </row>
    <row r="42" ht="7.5" customHeight="1"/>
    <row r="43" spans="1:8" ht="16.5">
      <c r="A43" s="153" t="s">
        <v>312</v>
      </c>
      <c r="G43" s="155" t="s">
        <v>308</v>
      </c>
      <c r="H43" s="29" t="str">
        <f>Input!E2&amp;" Acre Total"</f>
        <v>10 Acre Total</v>
      </c>
    </row>
    <row r="44" spans="2:8" ht="16.5">
      <c r="B44" s="16" t="s">
        <v>330</v>
      </c>
      <c r="G44" s="83">
        <f>SUM(G39-G20)</f>
        <v>8218.850325000001</v>
      </c>
      <c r="H44" s="162">
        <f>SUM(G44*Input!E2)</f>
        <v>82188.50325000001</v>
      </c>
    </row>
    <row r="45" spans="2:8" ht="16.5">
      <c r="B45" s="16" t="s">
        <v>331</v>
      </c>
      <c r="G45" s="83">
        <f>SUM(G39-G31)</f>
        <v>6999.120325000001</v>
      </c>
      <c r="H45" s="162">
        <f>SUM(G45*Input!E2)</f>
        <v>69991.20325</v>
      </c>
    </row>
    <row r="46" spans="2:8" ht="16.5">
      <c r="B46" s="177" t="s">
        <v>342</v>
      </c>
      <c r="G46" s="178">
        <f>SUM(G39-G35)</f>
        <v>5481.786991666668</v>
      </c>
      <c r="H46" s="179">
        <f>SUM(G46*Input!E2)</f>
        <v>54817.86991666668</v>
      </c>
    </row>
    <row r="47" spans="2:9" s="161" customFormat="1" ht="16.5">
      <c r="B47" s="153" t="s">
        <v>319</v>
      </c>
      <c r="C47" s="25"/>
      <c r="D47" s="25"/>
      <c r="E47" s="25"/>
      <c r="F47" s="25"/>
      <c r="G47" s="84">
        <f>SUM(G46/G35)</f>
        <v>0.9469458227780333</v>
      </c>
      <c r="H47" s="162"/>
      <c r="I47" s="25"/>
    </row>
    <row r="48" spans="2:9" s="161" customFormat="1" ht="7.5" customHeight="1">
      <c r="B48" s="153"/>
      <c r="C48" s="25"/>
      <c r="D48" s="25"/>
      <c r="E48" s="25"/>
      <c r="F48" s="25"/>
      <c r="G48" s="84"/>
      <c r="H48" s="162"/>
      <c r="I48" s="25"/>
    </row>
    <row r="49" spans="1:8" ht="16.5">
      <c r="A49" s="16"/>
      <c r="G49" s="154" t="s">
        <v>315</v>
      </c>
      <c r="H49" s="154" t="s">
        <v>315</v>
      </c>
    </row>
    <row r="50" spans="1:8" ht="16.5">
      <c r="A50" s="1"/>
      <c r="G50" s="156" t="s">
        <v>317</v>
      </c>
      <c r="H50" s="154" t="s">
        <v>318</v>
      </c>
    </row>
    <row r="51" spans="1:8" ht="16.5">
      <c r="A51" s="1"/>
      <c r="G51" s="157" t="str">
        <f>"@ "&amp;Input!E18&amp;" lbs/acre"</f>
        <v>@ 5367 lbs/acre</v>
      </c>
      <c r="H51" s="182" t="str">
        <f>"@ $"&amp;TEXT(Input!E19,"0.00")&amp;" /lb"</f>
        <v>@ $2.10 /lb</v>
      </c>
    </row>
    <row r="52" spans="1:8" ht="16.5">
      <c r="A52" s="16" t="s">
        <v>313</v>
      </c>
      <c r="G52" s="83">
        <f>SUM(F20/Input!E18)</f>
        <v>0.39519790385690334</v>
      </c>
      <c r="H52" s="92">
        <f>SUM(G20/Input!E19)</f>
        <v>1453.26175</v>
      </c>
    </row>
    <row r="53" spans="1:8" ht="16.5">
      <c r="A53" s="16" t="s">
        <v>314</v>
      </c>
      <c r="G53" s="83">
        <f>SUM(G31/Input!E18)</f>
        <v>0.7958970886901434</v>
      </c>
      <c r="H53" s="92">
        <f>SUM(G31/Input!E19)</f>
        <v>2034.0855595238095</v>
      </c>
    </row>
    <row r="54" spans="1:8" ht="16.5">
      <c r="A54" s="177" t="s">
        <v>343</v>
      </c>
      <c r="G54" s="83">
        <f>SUM(G35/Input!E18)</f>
        <v>1.078612447984597</v>
      </c>
      <c r="H54" s="92">
        <f>SUM(G35/Input!E19)</f>
        <v>2756.625242063492</v>
      </c>
    </row>
    <row r="55" spans="1:8" ht="15" customHeight="1">
      <c r="A55" s="153"/>
      <c r="G55" s="83"/>
      <c r="H55" s="92"/>
    </row>
    <row r="56" spans="1:10" ht="7.5" customHeight="1" thickBot="1">
      <c r="A56" s="158"/>
      <c r="B56" s="158"/>
      <c r="C56" s="158"/>
      <c r="D56" s="158"/>
      <c r="E56" s="158"/>
      <c r="F56" s="158"/>
      <c r="G56" s="158"/>
      <c r="H56" s="158"/>
      <c r="I56" s="158"/>
      <c r="J56" s="159"/>
    </row>
    <row r="57" spans="1:10" ht="28.5" customHeight="1" thickTop="1">
      <c r="A57" s="198" t="str">
        <f>"1. The cost of establishing the crop of $"&amp;FIXED(F35,2)&amp;" per acre, includes the pre plant and planting years, was spread over "&amp;COUNTA(Input!E12:E16)&amp;" picking years at $"&amp;FIXED(G7,2)&amp;" per year."</f>
        <v>1. The cost of establishing the crop of $5,526.48 per acre, includes the pre plant and planting years, was spread over 3 picking years at $1,842.16 per year.</v>
      </c>
      <c r="B57" s="198"/>
      <c r="C57" s="198"/>
      <c r="D57" s="198"/>
      <c r="E57" s="198"/>
      <c r="F57" s="198"/>
      <c r="G57" s="198"/>
      <c r="H57" s="198"/>
      <c r="I57" s="198"/>
      <c r="J57" s="198"/>
    </row>
    <row r="58" ht="7.5" customHeight="1"/>
    <row r="59" spans="1:10" ht="30.75" customHeight="1">
      <c r="A59" s="199" t="s">
        <v>270</v>
      </c>
      <c r="B59" s="199"/>
      <c r="C59" s="199"/>
      <c r="D59" s="199"/>
      <c r="E59" s="199"/>
      <c r="F59" s="199"/>
      <c r="G59" s="199"/>
      <c r="H59" s="199"/>
      <c r="I59" s="199"/>
      <c r="J59" s="199"/>
    </row>
    <row r="60" ht="16.5">
      <c r="A60" s="143"/>
    </row>
    <row r="61" ht="16.5">
      <c r="A61" s="41"/>
    </row>
    <row r="62" ht="16.5">
      <c r="A62" s="41"/>
    </row>
  </sheetData>
  <sheetProtection password="C6A6" sheet="1" objects="1" scenarios="1"/>
  <mergeCells count="5">
    <mergeCell ref="B2:J2"/>
    <mergeCell ref="B3:J3"/>
    <mergeCell ref="A57:J57"/>
    <mergeCell ref="A59:J59"/>
    <mergeCell ref="G5:H5"/>
  </mergeCells>
  <printOptions horizontalCentered="1"/>
  <pageMargins left="0.7480314960629921" right="0.7480314960629921" top="0.984251968503937" bottom="0.984251968503937" header="0.5118110236220472" footer="0.5118110236220472"/>
  <pageSetup firstPageNumber="3" useFirstPageNumber="1" fitToHeight="1" fitToWidth="1" horizontalDpi="600" verticalDpi="600" orientation="portrait" scale="72" r:id="rId1"/>
  <headerFooter alignWithMargins="0">
    <oddHeader>&amp;LGuidelines: Strawberry U-Pick Costs&amp;R&amp;P</oddHeader>
    <oddFooter>&amp;R&amp;"Arial,Italic"&amp;9MAFRI, GO Team Branch and Crops Knowledge Centre</oddFooter>
  </headerFooter>
  <ignoredErrors>
    <ignoredError sqref="H18" formula="1"/>
  </ignoredErrors>
</worksheet>
</file>

<file path=xl/worksheets/sheet3.xml><?xml version="1.0" encoding="utf-8"?>
<worksheet xmlns="http://schemas.openxmlformats.org/spreadsheetml/2006/main" xmlns:r="http://schemas.openxmlformats.org/officeDocument/2006/relationships">
  <sheetPr codeName="Sheet3"/>
  <dimension ref="B1:H47"/>
  <sheetViews>
    <sheetView showGridLines="0" zoomScalePageLayoutView="0" workbookViewId="0" topLeftCell="A1">
      <selection activeCell="E12" sqref="E12"/>
    </sheetView>
  </sheetViews>
  <sheetFormatPr defaultColWidth="8.88671875" defaultRowHeight="15"/>
  <cols>
    <col min="1" max="1" width="5.6640625" style="6" customWidth="1"/>
    <col min="2" max="2" width="18.4453125" style="6" customWidth="1"/>
    <col min="3" max="3" width="12.3359375" style="6" customWidth="1"/>
    <col min="4" max="4" width="13.99609375" style="6" customWidth="1"/>
    <col min="5" max="5" width="14.4453125" style="6" customWidth="1"/>
    <col min="6" max="6" width="14.99609375" style="6" customWidth="1"/>
    <col min="7" max="16384" width="8.88671875" style="6" customWidth="1"/>
  </cols>
  <sheetData>
    <row r="1" spans="2:8" ht="33" customHeight="1">
      <c r="B1" s="203" t="s">
        <v>265</v>
      </c>
      <c r="C1" s="204"/>
      <c r="D1" s="204"/>
      <c r="E1" s="204"/>
      <c r="F1" s="204"/>
      <c r="G1" s="120"/>
      <c r="H1" s="120"/>
    </row>
    <row r="2" spans="2:7" ht="15.75">
      <c r="B2" s="6" t="s">
        <v>232</v>
      </c>
      <c r="E2" s="3">
        <v>10</v>
      </c>
      <c r="G2" s="26"/>
    </row>
    <row r="3" spans="2:7" ht="15.75">
      <c r="B3" s="6" t="s">
        <v>233</v>
      </c>
      <c r="E3" s="3">
        <v>1</v>
      </c>
      <c r="G3" s="26"/>
    </row>
    <row r="4" spans="2:7" ht="15.75">
      <c r="B4" s="6" t="s">
        <v>137</v>
      </c>
      <c r="E4" s="180">
        <v>2400</v>
      </c>
      <c r="G4" s="26"/>
    </row>
    <row r="5" spans="2:7" ht="15.75">
      <c r="B5" s="15" t="s">
        <v>130</v>
      </c>
      <c r="E5" s="4">
        <v>6</v>
      </c>
      <c r="G5" s="76"/>
    </row>
    <row r="6" spans="2:7" ht="15.75">
      <c r="B6" s="6" t="s">
        <v>144</v>
      </c>
      <c r="E6" s="141">
        <v>0.98</v>
      </c>
      <c r="G6" s="27"/>
    </row>
    <row r="7" spans="2:7" ht="15.75">
      <c r="B7" s="15" t="s">
        <v>135</v>
      </c>
      <c r="E7" s="35">
        <v>0.055</v>
      </c>
      <c r="G7" s="27"/>
    </row>
    <row r="8" spans="2:5" ht="15.75">
      <c r="B8" s="15" t="s">
        <v>68</v>
      </c>
      <c r="E8" s="35">
        <v>0.025</v>
      </c>
    </row>
    <row r="9" spans="2:6" ht="15.75">
      <c r="B9" s="15"/>
      <c r="F9" s="124"/>
    </row>
    <row r="10" spans="2:6" ht="15.75">
      <c r="B10" s="202" t="s">
        <v>254</v>
      </c>
      <c r="C10" s="202"/>
      <c r="D10" s="202"/>
      <c r="E10" s="202"/>
      <c r="F10" s="202"/>
    </row>
    <row r="11" spans="3:7" ht="15.75">
      <c r="C11" s="10"/>
      <c r="D11" s="33" t="s">
        <v>73</v>
      </c>
      <c r="E11" s="33" t="s">
        <v>1</v>
      </c>
      <c r="G11" s="38"/>
    </row>
    <row r="12" spans="2:5" ht="15.75">
      <c r="B12" s="6" t="s">
        <v>133</v>
      </c>
      <c r="D12" s="125">
        <v>1</v>
      </c>
      <c r="E12" s="181"/>
    </row>
    <row r="13" spans="2:5" ht="15.75">
      <c r="B13" s="6" t="s">
        <v>134</v>
      </c>
      <c r="D13" s="125">
        <v>2</v>
      </c>
      <c r="E13" s="181"/>
    </row>
    <row r="14" spans="2:5" ht="15.75">
      <c r="B14" s="6" t="s">
        <v>127</v>
      </c>
      <c r="D14" s="125">
        <v>3</v>
      </c>
      <c r="E14" s="81">
        <v>6600</v>
      </c>
    </row>
    <row r="15" spans="2:5" ht="15.75">
      <c r="B15" s="6" t="s">
        <v>128</v>
      </c>
      <c r="D15" s="125">
        <v>4</v>
      </c>
      <c r="E15" s="81">
        <v>5500</v>
      </c>
    </row>
    <row r="16" spans="2:5" ht="15.75">
      <c r="B16" s="6" t="s">
        <v>129</v>
      </c>
      <c r="D16" s="125">
        <v>5</v>
      </c>
      <c r="E16" s="82">
        <v>4000</v>
      </c>
    </row>
    <row r="17" spans="4:6" ht="15.75">
      <c r="D17" s="12" t="s">
        <v>131</v>
      </c>
      <c r="E17" s="88">
        <f>SUM(E12:E16)</f>
        <v>16100</v>
      </c>
      <c r="F17" s="166"/>
    </row>
    <row r="18" spans="4:7" ht="15.75">
      <c r="D18" s="12" t="s">
        <v>132</v>
      </c>
      <c r="E18" s="126">
        <f>ROUND(SUM(E17/COUNTA(E12:E16)),0)</f>
        <v>5367</v>
      </c>
      <c r="G18" s="127"/>
    </row>
    <row r="19" spans="4:7" ht="15.75">
      <c r="D19" s="12" t="s">
        <v>309</v>
      </c>
      <c r="E19" s="176">
        <v>2.1</v>
      </c>
      <c r="F19" s="166">
        <f>SUM(E19*5)</f>
        <v>10.5</v>
      </c>
      <c r="G19" s="167" t="s">
        <v>332</v>
      </c>
    </row>
    <row r="20" spans="4:7" ht="15.75">
      <c r="D20" s="12"/>
      <c r="E20" s="126"/>
      <c r="G20" s="127"/>
    </row>
    <row r="21" spans="2:8" ht="18">
      <c r="B21" s="119" t="s">
        <v>22</v>
      </c>
      <c r="D21" s="32" t="s">
        <v>79</v>
      </c>
      <c r="E21" s="32" t="s">
        <v>94</v>
      </c>
      <c r="F21" s="32" t="s">
        <v>253</v>
      </c>
      <c r="G21" s="12" t="s">
        <v>20</v>
      </c>
      <c r="H21" s="12" t="s">
        <v>21</v>
      </c>
    </row>
    <row r="22" spans="2:8" ht="15.75">
      <c r="B22" s="7"/>
      <c r="D22" s="33" t="s">
        <v>24</v>
      </c>
      <c r="E22" s="33" t="s">
        <v>102</v>
      </c>
      <c r="F22" s="33" t="s">
        <v>102</v>
      </c>
      <c r="G22" s="11" t="s">
        <v>23</v>
      </c>
      <c r="H22" s="11" t="s">
        <v>24</v>
      </c>
    </row>
    <row r="23" spans="2:7" ht="15.75">
      <c r="B23" s="10" t="s">
        <v>136</v>
      </c>
      <c r="D23" s="33"/>
      <c r="E23" s="10"/>
      <c r="F23" s="79"/>
      <c r="G23" s="33"/>
    </row>
    <row r="24" spans="2:7" ht="15.75">
      <c r="B24" s="15" t="s">
        <v>138</v>
      </c>
      <c r="D24" s="128">
        <f>(E2+E3)*E4</f>
        <v>26400</v>
      </c>
      <c r="E24" s="13">
        <v>1</v>
      </c>
      <c r="F24" s="79">
        <f>D24*E24</f>
        <v>26400</v>
      </c>
      <c r="G24" s="33"/>
    </row>
    <row r="25" spans="2:7" ht="15.75">
      <c r="B25" s="10" t="s">
        <v>26</v>
      </c>
      <c r="D25" s="33"/>
      <c r="E25" s="10"/>
      <c r="F25" s="79"/>
      <c r="G25" s="33"/>
    </row>
    <row r="26" spans="2:8" ht="15.75">
      <c r="B26" s="6" t="s">
        <v>12</v>
      </c>
      <c r="C26" s="5" t="s">
        <v>112</v>
      </c>
      <c r="D26" s="168">
        <v>40000</v>
      </c>
      <c r="E26" s="13">
        <v>1</v>
      </c>
      <c r="F26" s="79">
        <f aca="true" t="shared" si="0" ref="F26:F35">D26*E26</f>
        <v>40000</v>
      </c>
      <c r="G26" s="26">
        <v>10</v>
      </c>
      <c r="H26" s="129">
        <v>0.2</v>
      </c>
    </row>
    <row r="27" spans="2:8" ht="15.75">
      <c r="B27" s="6" t="s">
        <v>12</v>
      </c>
      <c r="C27" s="5" t="s">
        <v>221</v>
      </c>
      <c r="D27" s="168">
        <v>55000</v>
      </c>
      <c r="E27" s="13">
        <v>0.33</v>
      </c>
      <c r="F27" s="79">
        <f t="shared" si="0"/>
        <v>18150</v>
      </c>
      <c r="G27" s="26">
        <v>10</v>
      </c>
      <c r="H27" s="129">
        <v>0.2</v>
      </c>
    </row>
    <row r="28" spans="2:8" ht="15.75">
      <c r="B28" s="6" t="s">
        <v>222</v>
      </c>
      <c r="C28" s="5" t="s">
        <v>234</v>
      </c>
      <c r="D28" s="86">
        <v>2500</v>
      </c>
      <c r="E28" s="13">
        <v>1</v>
      </c>
      <c r="F28" s="79">
        <f t="shared" si="0"/>
        <v>2500</v>
      </c>
      <c r="G28" s="26">
        <v>10</v>
      </c>
      <c r="H28" s="129">
        <v>0.2</v>
      </c>
    </row>
    <row r="29" spans="2:8" ht="15.75">
      <c r="B29" s="6" t="s">
        <v>223</v>
      </c>
      <c r="C29" s="5" t="s">
        <v>234</v>
      </c>
      <c r="D29" s="86">
        <v>100</v>
      </c>
      <c r="E29" s="13">
        <v>1</v>
      </c>
      <c r="F29" s="79">
        <f t="shared" si="0"/>
        <v>100</v>
      </c>
      <c r="G29" s="26">
        <v>10</v>
      </c>
      <c r="H29" s="129">
        <v>0.2</v>
      </c>
    </row>
    <row r="30" spans="2:8" ht="15.75">
      <c r="B30" s="6" t="s">
        <v>80</v>
      </c>
      <c r="C30" s="5" t="s">
        <v>224</v>
      </c>
      <c r="D30" s="86">
        <v>8000</v>
      </c>
      <c r="E30" s="13">
        <v>1</v>
      </c>
      <c r="F30" s="79">
        <f t="shared" si="0"/>
        <v>8000</v>
      </c>
      <c r="G30" s="26">
        <v>10</v>
      </c>
      <c r="H30" s="129">
        <v>0.2</v>
      </c>
    </row>
    <row r="31" spans="2:8" ht="15.75">
      <c r="B31" s="6" t="s">
        <v>225</v>
      </c>
      <c r="C31" s="5" t="s">
        <v>234</v>
      </c>
      <c r="D31" s="86">
        <v>4000</v>
      </c>
      <c r="E31" s="13">
        <v>0.9</v>
      </c>
      <c r="F31" s="79">
        <f t="shared" si="0"/>
        <v>3600</v>
      </c>
      <c r="G31" s="26">
        <v>10</v>
      </c>
      <c r="H31" s="129">
        <v>0.1</v>
      </c>
    </row>
    <row r="32" spans="2:8" ht="15.75">
      <c r="B32" s="6" t="s">
        <v>235</v>
      </c>
      <c r="C32" s="5" t="s">
        <v>236</v>
      </c>
      <c r="D32" s="86">
        <v>1000</v>
      </c>
      <c r="E32" s="13">
        <v>0.9</v>
      </c>
      <c r="F32" s="79">
        <f t="shared" si="0"/>
        <v>900</v>
      </c>
      <c r="G32" s="26">
        <v>10</v>
      </c>
      <c r="H32" s="129">
        <v>0.2</v>
      </c>
    </row>
    <row r="33" spans="2:8" ht="15.75">
      <c r="B33" s="6" t="s">
        <v>226</v>
      </c>
      <c r="C33" s="5" t="s">
        <v>234</v>
      </c>
      <c r="D33" s="86">
        <v>14000</v>
      </c>
      <c r="E33" s="13">
        <v>0.25</v>
      </c>
      <c r="F33" s="79">
        <f t="shared" si="0"/>
        <v>3500</v>
      </c>
      <c r="G33" s="26">
        <v>10</v>
      </c>
      <c r="H33" s="129">
        <v>0.2</v>
      </c>
    </row>
    <row r="34" spans="2:8" ht="15.75">
      <c r="B34" s="6" t="s">
        <v>227</v>
      </c>
      <c r="C34" s="5" t="s">
        <v>234</v>
      </c>
      <c r="D34" s="86">
        <v>2500</v>
      </c>
      <c r="E34" s="13">
        <v>0.75</v>
      </c>
      <c r="F34" s="79">
        <f t="shared" si="0"/>
        <v>1875</v>
      </c>
      <c r="G34" s="26">
        <v>10</v>
      </c>
      <c r="H34" s="129">
        <v>0.1</v>
      </c>
    </row>
    <row r="35" spans="2:8" ht="15.75">
      <c r="B35" s="6" t="s">
        <v>228</v>
      </c>
      <c r="C35" s="5" t="s">
        <v>237</v>
      </c>
      <c r="D35" s="87">
        <v>100</v>
      </c>
      <c r="E35" s="13">
        <v>1</v>
      </c>
      <c r="F35" s="80">
        <f t="shared" si="0"/>
        <v>100</v>
      </c>
      <c r="G35" s="118">
        <v>10</v>
      </c>
      <c r="H35" s="130">
        <v>0.1</v>
      </c>
    </row>
    <row r="36" spans="2:8" ht="15.75">
      <c r="B36" s="6" t="s">
        <v>70</v>
      </c>
      <c r="D36" s="131">
        <f>SUM(D26:D35)</f>
        <v>127200</v>
      </c>
      <c r="F36" s="79">
        <f>SUM(F26:F35)</f>
        <v>78725</v>
      </c>
      <c r="G36" s="7">
        <f>SUM(G30:G35)/COUNT(G30:G35)</f>
        <v>10</v>
      </c>
      <c r="H36" s="132">
        <f>SUM(H30:H35)/COUNT(H30:H35)</f>
        <v>0.15</v>
      </c>
    </row>
    <row r="37" ht="15.75">
      <c r="B37" s="10" t="s">
        <v>250</v>
      </c>
    </row>
    <row r="38" spans="2:8" ht="15.75">
      <c r="B38" s="6" t="s">
        <v>81</v>
      </c>
      <c r="D38" s="86">
        <v>25000</v>
      </c>
      <c r="E38" s="13">
        <v>0.9</v>
      </c>
      <c r="F38" s="79">
        <f>D38*E38</f>
        <v>22500</v>
      </c>
      <c r="G38" s="26">
        <v>20</v>
      </c>
      <c r="H38" s="129">
        <v>0.1</v>
      </c>
    </row>
    <row r="39" spans="2:8" ht="15.75">
      <c r="B39" s="6" t="s">
        <v>113</v>
      </c>
      <c r="D39" s="86">
        <v>3000</v>
      </c>
      <c r="E39" s="13">
        <v>1</v>
      </c>
      <c r="F39" s="79">
        <f>D39*E39</f>
        <v>3000</v>
      </c>
      <c r="G39" s="26">
        <v>10</v>
      </c>
      <c r="H39" s="129">
        <v>0.1</v>
      </c>
    </row>
    <row r="40" spans="2:8" ht="15.75">
      <c r="B40" s="6" t="s">
        <v>114</v>
      </c>
      <c r="D40" s="86">
        <v>1500</v>
      </c>
      <c r="E40" s="13">
        <v>1</v>
      </c>
      <c r="F40" s="79">
        <f>D40*E40</f>
        <v>1500</v>
      </c>
      <c r="G40" s="26">
        <v>20</v>
      </c>
      <c r="H40" s="129">
        <v>0.1</v>
      </c>
    </row>
    <row r="41" spans="2:8" ht="15.75">
      <c r="B41" s="6" t="s">
        <v>126</v>
      </c>
      <c r="D41" s="86">
        <v>10000</v>
      </c>
      <c r="E41" s="13">
        <v>0.35</v>
      </c>
      <c r="F41" s="79">
        <f>D41*E41</f>
        <v>3500</v>
      </c>
      <c r="G41" s="26">
        <v>10</v>
      </c>
      <c r="H41" s="129">
        <v>0.2</v>
      </c>
    </row>
    <row r="42" spans="2:8" ht="15.75">
      <c r="B42" s="6" t="s">
        <v>115</v>
      </c>
      <c r="D42" s="87">
        <v>25000</v>
      </c>
      <c r="E42" s="90">
        <v>1</v>
      </c>
      <c r="F42" s="80">
        <f>D42*E42</f>
        <v>25000</v>
      </c>
      <c r="G42" s="118">
        <v>20</v>
      </c>
      <c r="H42" s="130">
        <v>0.2</v>
      </c>
    </row>
    <row r="43" spans="2:8" ht="15.75">
      <c r="B43" s="6" t="s">
        <v>70</v>
      </c>
      <c r="D43" s="131">
        <f>SUM(D38:D42)</f>
        <v>64500</v>
      </c>
      <c r="E43" s="7"/>
      <c r="F43" s="79">
        <f>SUM(F38:F42)</f>
        <v>55500</v>
      </c>
      <c r="G43" s="7">
        <f>SUM(G38:G42)/COUNT(G38:G42)</f>
        <v>16</v>
      </c>
      <c r="H43" s="132">
        <f>SUM(H38:H42)/COUNT(H38:H42)</f>
        <v>0.13999999999999999</v>
      </c>
    </row>
    <row r="44" spans="2:6" ht="15.75">
      <c r="B44" s="7" t="s">
        <v>139</v>
      </c>
      <c r="D44" s="79">
        <f>D24+D36+D43</f>
        <v>218100</v>
      </c>
      <c r="E44" s="133"/>
      <c r="F44" s="79">
        <f>F24+F36+F43</f>
        <v>160625</v>
      </c>
    </row>
    <row r="45" spans="2:8" ht="15.75">
      <c r="B45" s="7" t="s">
        <v>255</v>
      </c>
      <c r="C45" s="7"/>
      <c r="D45" s="7" t="s">
        <v>201</v>
      </c>
      <c r="E45" s="79">
        <f>F36/E2</f>
        <v>7872.5</v>
      </c>
      <c r="F45" s="7" t="s">
        <v>72</v>
      </c>
      <c r="H45" s="129"/>
    </row>
    <row r="46" spans="2:8" ht="15.75">
      <c r="B46" s="7"/>
      <c r="C46" s="7"/>
      <c r="D46" s="7" t="s">
        <v>202</v>
      </c>
      <c r="E46" s="80">
        <f>F43/E2</f>
        <v>5550</v>
      </c>
      <c r="F46" s="7" t="s">
        <v>72</v>
      </c>
      <c r="H46" s="129"/>
    </row>
    <row r="47" spans="2:6" ht="15.75">
      <c r="B47" s="7"/>
      <c r="C47" s="7"/>
      <c r="D47" s="7" t="s">
        <v>70</v>
      </c>
      <c r="E47" s="79">
        <f>F44/E2</f>
        <v>16062.5</v>
      </c>
      <c r="F47" s="7" t="s">
        <v>72</v>
      </c>
    </row>
  </sheetData>
  <sheetProtection password="C6A6" sheet="1" objects="1" scenarios="1"/>
  <mergeCells count="2">
    <mergeCell ref="B10:F10"/>
    <mergeCell ref="B1:F1"/>
  </mergeCells>
  <printOptions horizontalCentered="1" verticalCentered="1"/>
  <pageMargins left="0.7480314960629921" right="0.7480314960629921" top="0.7874015748031497" bottom="0.81" header="0.5118110236220472" footer="0.5118110236220472"/>
  <pageSetup firstPageNumber="4" useFirstPageNumber="1" horizontalDpi="600" verticalDpi="600" orientation="portrait" scale="84" r:id="rId3"/>
  <headerFooter alignWithMargins="0">
    <oddHeader>&amp;L&amp;9Guidelines: Strawberry U-Pick Costs&amp;R&amp;P</oddHeader>
    <oddFooter>&amp;R&amp;"Arial,Italic"&amp;9MAFRI, GO Team Branch and Crops Knowledge Centre</oddFooter>
  </headerFooter>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sheetPr codeName="Sheet5"/>
  <dimension ref="A1:H83"/>
  <sheetViews>
    <sheetView showGridLines="0" zoomScalePageLayoutView="0" workbookViewId="0" topLeftCell="A1">
      <selection activeCell="A1" sqref="A1"/>
    </sheetView>
  </sheetViews>
  <sheetFormatPr defaultColWidth="8.88671875" defaultRowHeight="15"/>
  <cols>
    <col min="1" max="1" width="2.88671875" style="6" customWidth="1"/>
    <col min="2" max="2" width="18.10546875" style="6" customWidth="1"/>
    <col min="3" max="3" width="8.4453125" style="6" customWidth="1"/>
    <col min="4" max="4" width="9.77734375" style="6" customWidth="1"/>
    <col min="5" max="5" width="11.4453125" style="6" customWidth="1"/>
    <col min="6" max="6" width="9.77734375" style="6" customWidth="1"/>
    <col min="7" max="7" width="11.10546875" style="6" customWidth="1"/>
    <col min="8" max="16384" width="8.88671875" style="6" customWidth="1"/>
  </cols>
  <sheetData>
    <row r="1" ht="15">
      <c r="A1" s="15"/>
    </row>
    <row r="2" spans="2:8" ht="19.5" customHeight="1">
      <c r="B2" s="207" t="s">
        <v>266</v>
      </c>
      <c r="C2" s="204"/>
      <c r="D2" s="204"/>
      <c r="E2" s="204"/>
      <c r="F2" s="204"/>
      <c r="G2" s="204"/>
      <c r="H2" s="120"/>
    </row>
    <row r="3" ht="15"/>
    <row r="4" ht="15.75">
      <c r="B4" s="10" t="s">
        <v>154</v>
      </c>
    </row>
    <row r="5" spans="2:6" ht="15.75">
      <c r="B5" s="15" t="s">
        <v>155</v>
      </c>
      <c r="F5" s="136" t="s">
        <v>297</v>
      </c>
    </row>
    <row r="6" spans="2:7" ht="15.75">
      <c r="B6" s="6" t="s">
        <v>238</v>
      </c>
      <c r="F6" s="5">
        <v>1.5</v>
      </c>
      <c r="G6" s="15" t="s">
        <v>240</v>
      </c>
    </row>
    <row r="7" spans="2:7" ht="15.75">
      <c r="B7" s="6" t="s">
        <v>239</v>
      </c>
      <c r="F7" s="142">
        <v>13</v>
      </c>
      <c r="G7" s="15" t="s">
        <v>241</v>
      </c>
    </row>
    <row r="8" ht="15.75">
      <c r="B8" s="10"/>
    </row>
    <row r="9" spans="2:6" ht="15.75">
      <c r="B9" s="15" t="s">
        <v>156</v>
      </c>
      <c r="E9" s="33"/>
      <c r="F9" s="33"/>
    </row>
    <row r="10" spans="2:7" ht="15.75">
      <c r="B10" s="15" t="s">
        <v>323</v>
      </c>
      <c r="F10" s="3">
        <v>8000</v>
      </c>
      <c r="G10" s="6" t="s">
        <v>242</v>
      </c>
    </row>
    <row r="11" spans="2:7" ht="15.75">
      <c r="B11" s="15" t="s">
        <v>324</v>
      </c>
      <c r="F11" s="4">
        <v>150</v>
      </c>
      <c r="G11" s="6" t="s">
        <v>243</v>
      </c>
    </row>
    <row r="12" ht="15"/>
    <row r="13" ht="15.75">
      <c r="B13" s="10" t="s">
        <v>3</v>
      </c>
    </row>
    <row r="14" spans="2:7" ht="15.75">
      <c r="B14" s="7"/>
      <c r="C14" s="11" t="s">
        <v>4</v>
      </c>
      <c r="D14" s="11" t="s">
        <v>5</v>
      </c>
      <c r="E14" s="11" t="s">
        <v>6</v>
      </c>
      <c r="F14" s="11" t="s">
        <v>7</v>
      </c>
      <c r="G14" s="11" t="s">
        <v>8</v>
      </c>
    </row>
    <row r="15" spans="2:7" ht="15.75">
      <c r="B15" s="20" t="s">
        <v>158</v>
      </c>
      <c r="C15" s="141">
        <v>0.64</v>
      </c>
      <c r="D15" s="141">
        <v>0.53</v>
      </c>
      <c r="E15" s="141">
        <v>0.49</v>
      </c>
      <c r="F15" s="141">
        <v>0.43</v>
      </c>
      <c r="G15" s="141">
        <v>1.5</v>
      </c>
    </row>
    <row r="16" ht="15.75">
      <c r="B16" s="20" t="s">
        <v>159</v>
      </c>
    </row>
    <row r="17" spans="2:7" ht="15.75">
      <c r="B17" s="15" t="s">
        <v>160</v>
      </c>
      <c r="C17" s="5">
        <v>0</v>
      </c>
      <c r="D17" s="5">
        <v>0</v>
      </c>
      <c r="E17" s="5">
        <v>0</v>
      </c>
      <c r="F17" s="5">
        <v>0</v>
      </c>
      <c r="G17" s="5">
        <v>0</v>
      </c>
    </row>
    <row r="18" spans="2:7" ht="15.75">
      <c r="B18" s="15" t="s">
        <v>161</v>
      </c>
      <c r="C18" s="5">
        <v>70</v>
      </c>
      <c r="D18" s="5">
        <v>100</v>
      </c>
      <c r="E18" s="5">
        <v>30</v>
      </c>
      <c r="F18" s="5">
        <v>15</v>
      </c>
      <c r="G18" s="5">
        <v>6</v>
      </c>
    </row>
    <row r="19" spans="3:7" ht="15.75">
      <c r="C19" s="26"/>
      <c r="D19" s="26"/>
      <c r="E19" s="26"/>
      <c r="F19" s="26"/>
      <c r="G19" s="26"/>
    </row>
    <row r="20" spans="2:7" ht="15.75">
      <c r="B20" s="15" t="s">
        <v>92</v>
      </c>
      <c r="C20" s="26"/>
      <c r="D20" s="142">
        <v>1.75</v>
      </c>
      <c r="E20" s="15" t="s">
        <v>72</v>
      </c>
      <c r="F20" s="26"/>
      <c r="G20" s="26"/>
    </row>
    <row r="21" spans="2:7" ht="15.75">
      <c r="B21" s="7"/>
      <c r="G21" s="26"/>
    </row>
    <row r="22" spans="2:5" ht="15.75">
      <c r="B22" s="96" t="s">
        <v>107</v>
      </c>
      <c r="D22" s="120"/>
      <c r="E22" s="120"/>
    </row>
    <row r="23" spans="3:5" ht="15.75">
      <c r="C23" s="11" t="s">
        <v>162</v>
      </c>
      <c r="D23" s="163" t="s">
        <v>298</v>
      </c>
      <c r="E23" s="11" t="s">
        <v>163</v>
      </c>
    </row>
    <row r="24" spans="3:5" ht="15">
      <c r="C24" s="205" t="s">
        <v>164</v>
      </c>
      <c r="D24" s="206"/>
      <c r="E24" s="206"/>
    </row>
    <row r="25" spans="2:5" ht="15.75">
      <c r="B25" s="15" t="s">
        <v>165</v>
      </c>
      <c r="C25" s="4">
        <v>0</v>
      </c>
      <c r="D25" s="24">
        <v>10</v>
      </c>
      <c r="E25" s="24">
        <v>1</v>
      </c>
    </row>
    <row r="26" spans="2:5" ht="15.75">
      <c r="B26" s="15" t="s">
        <v>161</v>
      </c>
      <c r="C26" s="24">
        <v>0</v>
      </c>
      <c r="D26" s="24">
        <v>15</v>
      </c>
      <c r="E26" s="24">
        <v>0</v>
      </c>
    </row>
    <row r="27" ht="15.75">
      <c r="B27" s="10"/>
    </row>
    <row r="28" ht="15.75">
      <c r="B28" s="10" t="s">
        <v>108</v>
      </c>
    </row>
    <row r="29" spans="2:5" ht="15.75">
      <c r="B29" s="10"/>
      <c r="C29" s="11" t="s">
        <v>166</v>
      </c>
      <c r="D29" s="11" t="s">
        <v>167</v>
      </c>
      <c r="E29" s="11" t="s">
        <v>168</v>
      </c>
    </row>
    <row r="30" spans="2:5" ht="15.75" customHeight="1">
      <c r="B30" s="10"/>
      <c r="C30" s="205" t="s">
        <v>164</v>
      </c>
      <c r="D30" s="206"/>
      <c r="E30" s="206"/>
    </row>
    <row r="31" spans="2:5" ht="15.75">
      <c r="B31" s="15" t="s">
        <v>165</v>
      </c>
      <c r="C31" s="24">
        <v>0</v>
      </c>
      <c r="D31" s="24">
        <v>0</v>
      </c>
      <c r="E31" s="24">
        <v>0</v>
      </c>
    </row>
    <row r="32" spans="2:5" ht="15.75">
      <c r="B32" s="15" t="s">
        <v>161</v>
      </c>
      <c r="C32" s="24">
        <v>0</v>
      </c>
      <c r="D32" s="24">
        <v>0</v>
      </c>
      <c r="E32" s="24">
        <v>0</v>
      </c>
    </row>
    <row r="33" ht="15.75">
      <c r="B33" s="10"/>
    </row>
    <row r="34" ht="15.75">
      <c r="B34" s="10" t="s">
        <v>109</v>
      </c>
    </row>
    <row r="35" spans="2:5" ht="15.75">
      <c r="B35" s="10"/>
      <c r="C35" s="11" t="s">
        <v>169</v>
      </c>
      <c r="D35" s="11" t="s">
        <v>170</v>
      </c>
      <c r="E35" s="11" t="s">
        <v>171</v>
      </c>
    </row>
    <row r="36" spans="2:5" ht="15.75" customHeight="1">
      <c r="B36" s="10"/>
      <c r="C36" s="205" t="s">
        <v>164</v>
      </c>
      <c r="D36" s="206"/>
      <c r="E36" s="206"/>
    </row>
    <row r="37" spans="2:5" ht="15.75">
      <c r="B37" s="15" t="s">
        <v>165</v>
      </c>
      <c r="C37" s="24">
        <v>0</v>
      </c>
      <c r="D37" s="24">
        <v>0</v>
      </c>
      <c r="E37" s="24">
        <v>0</v>
      </c>
    </row>
    <row r="38" spans="2:5" ht="15.75">
      <c r="B38" s="15" t="s">
        <v>161</v>
      </c>
      <c r="C38" s="24">
        <v>0</v>
      </c>
      <c r="D38" s="24">
        <v>0</v>
      </c>
      <c r="E38" s="24">
        <v>0</v>
      </c>
    </row>
    <row r="39" spans="2:5" ht="15.75">
      <c r="B39" s="15"/>
      <c r="C39" s="27"/>
      <c r="D39" s="27"/>
      <c r="E39" s="27"/>
    </row>
    <row r="40" ht="15.75">
      <c r="B40" s="10" t="s">
        <v>172</v>
      </c>
    </row>
    <row r="41" spans="2:6" ht="15.75">
      <c r="B41" s="7"/>
      <c r="C41" s="12" t="s">
        <v>9</v>
      </c>
      <c r="D41" s="12" t="s">
        <v>10</v>
      </c>
      <c r="E41" s="12" t="s">
        <v>11</v>
      </c>
      <c r="F41" s="12" t="s">
        <v>12</v>
      </c>
    </row>
    <row r="42" spans="2:6" ht="15.75">
      <c r="B42" s="10" t="s">
        <v>13</v>
      </c>
      <c r="C42" s="11" t="s">
        <v>14</v>
      </c>
      <c r="D42" s="11" t="s">
        <v>15</v>
      </c>
      <c r="E42" s="11" t="s">
        <v>16</v>
      </c>
      <c r="F42" s="11" t="s">
        <v>17</v>
      </c>
    </row>
    <row r="43" spans="2:6" ht="15.75">
      <c r="B43" s="15" t="s">
        <v>18</v>
      </c>
      <c r="C43" s="5">
        <v>1</v>
      </c>
      <c r="D43" s="5">
        <v>18</v>
      </c>
      <c r="E43" s="5">
        <v>5</v>
      </c>
      <c r="F43" s="5">
        <v>100</v>
      </c>
    </row>
    <row r="44" spans="2:6" ht="15.75">
      <c r="B44" s="15" t="s">
        <v>104</v>
      </c>
      <c r="C44" s="5">
        <v>1</v>
      </c>
      <c r="D44" s="5">
        <v>15</v>
      </c>
      <c r="E44" s="5">
        <v>6</v>
      </c>
      <c r="F44" s="5">
        <v>100</v>
      </c>
    </row>
    <row r="45" spans="2:6" ht="15.75">
      <c r="B45" s="15" t="s">
        <v>119</v>
      </c>
      <c r="C45" s="5">
        <v>1</v>
      </c>
      <c r="D45" s="5">
        <v>5</v>
      </c>
      <c r="E45" s="5">
        <v>5</v>
      </c>
      <c r="F45" s="5">
        <v>100</v>
      </c>
    </row>
    <row r="46" spans="2:6" ht="15.75">
      <c r="B46" s="6" t="s">
        <v>18</v>
      </c>
      <c r="C46" s="5">
        <v>1</v>
      </c>
      <c r="D46" s="5">
        <v>18</v>
      </c>
      <c r="E46" s="5">
        <v>5</v>
      </c>
      <c r="F46" s="5">
        <v>100</v>
      </c>
    </row>
    <row r="47" spans="2:6" ht="15.75">
      <c r="B47" s="6" t="s">
        <v>3</v>
      </c>
      <c r="C47" s="5">
        <v>1</v>
      </c>
      <c r="D47" s="5">
        <v>40</v>
      </c>
      <c r="E47" s="5">
        <v>7</v>
      </c>
      <c r="F47" s="5">
        <v>100</v>
      </c>
    </row>
    <row r="48" ht="15.75">
      <c r="B48" s="10" t="s">
        <v>173</v>
      </c>
    </row>
    <row r="49" spans="2:7" ht="15.75">
      <c r="B49" s="7"/>
      <c r="C49" s="12" t="s">
        <v>9</v>
      </c>
      <c r="D49" s="12" t="s">
        <v>10</v>
      </c>
      <c r="E49" s="12" t="s">
        <v>11</v>
      </c>
      <c r="F49" s="12" t="s">
        <v>12</v>
      </c>
      <c r="G49" s="7"/>
    </row>
    <row r="50" spans="2:7" ht="15.75">
      <c r="B50" s="10" t="s">
        <v>13</v>
      </c>
      <c r="C50" s="11" t="s">
        <v>14</v>
      </c>
      <c r="D50" s="11" t="s">
        <v>15</v>
      </c>
      <c r="E50" s="11" t="s">
        <v>16</v>
      </c>
      <c r="F50" s="11" t="s">
        <v>17</v>
      </c>
      <c r="G50" s="10"/>
    </row>
    <row r="51" spans="2:6" ht="15.75">
      <c r="B51" s="6" t="s">
        <v>157</v>
      </c>
      <c r="C51" s="5">
        <v>1</v>
      </c>
      <c r="D51" s="5">
        <v>5</v>
      </c>
      <c r="E51" s="5">
        <v>1</v>
      </c>
      <c r="F51" s="5">
        <v>30</v>
      </c>
    </row>
    <row r="52" spans="2:6" ht="15.75">
      <c r="B52" s="6" t="s">
        <v>18</v>
      </c>
      <c r="C52" s="5">
        <v>3</v>
      </c>
      <c r="D52" s="5">
        <v>5</v>
      </c>
      <c r="E52" s="5">
        <v>5</v>
      </c>
      <c r="F52" s="5">
        <v>30</v>
      </c>
    </row>
    <row r="53" spans="2:6" ht="15.75">
      <c r="B53" s="6" t="s">
        <v>19</v>
      </c>
      <c r="C53" s="5">
        <v>1</v>
      </c>
      <c r="D53" s="5">
        <v>25</v>
      </c>
      <c r="E53" s="5">
        <v>4</v>
      </c>
      <c r="F53" s="5">
        <v>30</v>
      </c>
    </row>
    <row r="54" spans="2:6" ht="15.75">
      <c r="B54" s="6" t="s">
        <v>121</v>
      </c>
      <c r="C54" s="5">
        <v>1</v>
      </c>
      <c r="D54" s="5">
        <v>5</v>
      </c>
      <c r="E54" s="5">
        <v>2</v>
      </c>
      <c r="F54" s="5">
        <v>100</v>
      </c>
    </row>
    <row r="55" ht="15.75">
      <c r="G55" s="27"/>
    </row>
    <row r="56" spans="3:7" ht="15">
      <c r="C56" s="15"/>
      <c r="D56" s="15"/>
      <c r="E56" s="15"/>
      <c r="F56" s="15"/>
      <c r="G56" s="15"/>
    </row>
    <row r="57" spans="2:6" ht="15.75">
      <c r="B57" s="10" t="s">
        <v>174</v>
      </c>
      <c r="E57" s="11" t="s">
        <v>118</v>
      </c>
      <c r="F57" s="11" t="s">
        <v>194</v>
      </c>
    </row>
    <row r="58" spans="2:6" ht="15.75">
      <c r="B58" s="15" t="s">
        <v>141</v>
      </c>
      <c r="E58" s="5">
        <v>0</v>
      </c>
      <c r="F58" s="3">
        <v>3</v>
      </c>
    </row>
    <row r="59" spans="2:6" ht="15.75">
      <c r="B59" s="15" t="s">
        <v>191</v>
      </c>
      <c r="E59" s="5">
        <v>4</v>
      </c>
      <c r="F59" s="137">
        <v>4</v>
      </c>
    </row>
    <row r="60" spans="2:6" ht="15.75">
      <c r="B60" s="15" t="s">
        <v>142</v>
      </c>
      <c r="E60" s="141">
        <v>5</v>
      </c>
      <c r="F60" s="142">
        <v>5</v>
      </c>
    </row>
    <row r="61" spans="3:6" ht="15.75">
      <c r="C61" s="26"/>
      <c r="D61" s="26"/>
      <c r="E61" s="26"/>
      <c r="F61" s="26"/>
    </row>
    <row r="62" spans="2:6" ht="15.75">
      <c r="B62" s="10" t="s">
        <v>195</v>
      </c>
      <c r="C62" s="26"/>
      <c r="D62" s="26"/>
      <c r="E62" s="26"/>
      <c r="F62" s="26"/>
    </row>
    <row r="63" spans="3:6" ht="15.75">
      <c r="C63" s="15" t="s">
        <v>198</v>
      </c>
      <c r="D63" s="26"/>
      <c r="E63" s="4">
        <v>0</v>
      </c>
      <c r="F63" s="26"/>
    </row>
    <row r="64" spans="3:6" ht="15.75">
      <c r="C64" s="15" t="s">
        <v>199</v>
      </c>
      <c r="D64" s="26"/>
      <c r="E64" s="4">
        <v>0</v>
      </c>
      <c r="F64" s="26"/>
    </row>
    <row r="65" spans="3:6" ht="15.75">
      <c r="C65" s="15"/>
      <c r="D65" s="26"/>
      <c r="E65" s="123"/>
      <c r="F65" s="26"/>
    </row>
    <row r="66" spans="2:6" ht="15.75">
      <c r="B66" s="10" t="s">
        <v>196</v>
      </c>
      <c r="E66" s="26"/>
      <c r="F66" s="26"/>
    </row>
    <row r="67" spans="3:6" ht="15.75">
      <c r="C67" s="6" t="s">
        <v>93</v>
      </c>
      <c r="E67" s="35">
        <v>0.015</v>
      </c>
      <c r="F67" s="26"/>
    </row>
    <row r="68" spans="3:6" ht="15.75">
      <c r="C68" s="26"/>
      <c r="D68" s="26"/>
      <c r="E68" s="26"/>
      <c r="F68" s="26"/>
    </row>
    <row r="69" spans="2:6" ht="15.75">
      <c r="B69" s="10" t="s">
        <v>126</v>
      </c>
      <c r="C69" s="26"/>
      <c r="D69" s="26"/>
      <c r="E69" s="26"/>
      <c r="F69" s="26"/>
    </row>
    <row r="70" spans="3:6" ht="15.75">
      <c r="C70" s="7" t="s">
        <v>118</v>
      </c>
      <c r="D70" s="26"/>
      <c r="E70" s="24">
        <v>200</v>
      </c>
      <c r="F70" s="26"/>
    </row>
    <row r="71" spans="3:6" ht="15.75">
      <c r="C71" s="7" t="s">
        <v>194</v>
      </c>
      <c r="D71" s="26"/>
      <c r="E71" s="24">
        <v>500</v>
      </c>
      <c r="F71" s="26"/>
    </row>
    <row r="72" spans="3:6" ht="15.75">
      <c r="C72" s="7" t="s">
        <v>123</v>
      </c>
      <c r="D72" s="26"/>
      <c r="E72" s="5">
        <v>10</v>
      </c>
      <c r="F72" s="5" t="s">
        <v>214</v>
      </c>
    </row>
    <row r="73" spans="3:6" ht="15.75">
      <c r="C73" s="26"/>
      <c r="D73" s="26"/>
      <c r="E73" s="24">
        <v>25</v>
      </c>
      <c r="F73" s="5" t="s">
        <v>215</v>
      </c>
    </row>
    <row r="74" ht="15.75">
      <c r="B74" s="10" t="s">
        <v>106</v>
      </c>
    </row>
    <row r="75" spans="2:5" ht="15.75">
      <c r="B75" s="15" t="s">
        <v>245</v>
      </c>
      <c r="D75" s="142">
        <v>17.5</v>
      </c>
      <c r="E75" s="11" t="s">
        <v>264</v>
      </c>
    </row>
    <row r="76" spans="2:5" ht="15.75">
      <c r="B76" s="6" t="s">
        <v>110</v>
      </c>
      <c r="E76" s="138">
        <v>30</v>
      </c>
    </row>
    <row r="77" spans="2:5" ht="15.75">
      <c r="B77" s="6" t="s">
        <v>111</v>
      </c>
      <c r="E77" s="138">
        <v>8</v>
      </c>
    </row>
    <row r="78" spans="2:5" ht="15.75">
      <c r="B78" s="6" t="s">
        <v>116</v>
      </c>
      <c r="E78" s="138">
        <v>6</v>
      </c>
    </row>
    <row r="79" spans="2:5" ht="15.75">
      <c r="B79" s="6" t="s">
        <v>121</v>
      </c>
      <c r="E79" s="138">
        <v>5</v>
      </c>
    </row>
    <row r="80" spans="2:5" ht="15.75">
      <c r="B80" s="6" t="s">
        <v>105</v>
      </c>
      <c r="E80" s="134">
        <f>'Establish Details'!L111</f>
        <v>4.300000000000001</v>
      </c>
    </row>
    <row r="81" spans="2:6" ht="15.75">
      <c r="B81" s="6" t="s">
        <v>244</v>
      </c>
      <c r="E81" s="135">
        <f>SUM(E76:E80)</f>
        <v>53.3</v>
      </c>
      <c r="F81" s="6" t="s">
        <v>229</v>
      </c>
    </row>
    <row r="83" ht="15">
      <c r="B83" s="15" t="s">
        <v>322</v>
      </c>
    </row>
  </sheetData>
  <sheetProtection password="C6A6" sheet="1" objects="1" scenarios="1"/>
  <mergeCells count="4">
    <mergeCell ref="C24:E24"/>
    <mergeCell ref="C30:E30"/>
    <mergeCell ref="C36:E36"/>
    <mergeCell ref="B2:G2"/>
  </mergeCells>
  <printOptions horizontalCentered="1"/>
  <pageMargins left="0.7480314960629921" right="0.7480314960629921" top="0.984251968503937" bottom="0.984251968503937" header="0.5118110236220472" footer="0.5118110236220472"/>
  <pageSetup firstPageNumber="5" useFirstPageNumber="1" horizontalDpi="600" verticalDpi="600" orientation="portrait" scale="94" r:id="rId3"/>
  <headerFooter alignWithMargins="0">
    <oddHeader>&amp;L&amp;9Guidelines: Strawberry U-Pick Costs&amp;R&amp;P</oddHeader>
    <oddFooter>&amp;R&amp;"Arial,Italic"&amp;9MAFRI, GO Team Branch and Crops Knowledge Centre</oddFooter>
  </headerFooter>
  <rowBreaks count="2" manualBreakCount="2">
    <brk id="39" max="6" man="1"/>
    <brk id="81" max="6" man="1"/>
  </rowBreaks>
  <legacyDrawing r:id="rId2"/>
</worksheet>
</file>

<file path=xl/worksheets/sheet5.xml><?xml version="1.0" encoding="utf-8"?>
<worksheet xmlns="http://schemas.openxmlformats.org/spreadsheetml/2006/main" xmlns:r="http://schemas.openxmlformats.org/officeDocument/2006/relationships">
  <sheetPr codeName="Sheet4"/>
  <dimension ref="A2:O209"/>
  <sheetViews>
    <sheetView showGridLines="0" zoomScalePageLayoutView="0" workbookViewId="0" topLeftCell="A1">
      <selection activeCell="A1" sqref="A1"/>
    </sheetView>
  </sheetViews>
  <sheetFormatPr defaultColWidth="8.88671875" defaultRowHeight="15"/>
  <cols>
    <col min="1" max="1" width="3.10546875" style="0" customWidth="1"/>
    <col min="2" max="2" width="15.6640625" style="0" customWidth="1"/>
    <col min="3" max="3" width="3.5546875" style="0" customWidth="1"/>
    <col min="4" max="4" width="9.88671875" style="0" customWidth="1"/>
    <col min="5" max="5" width="2.21484375" style="0" customWidth="1"/>
    <col min="6" max="6" width="12.6640625" style="0" customWidth="1"/>
    <col min="7" max="7" width="10.10546875" style="0" customWidth="1"/>
    <col min="8" max="8" width="9.88671875" style="0" customWidth="1"/>
    <col min="9" max="9" width="11.4453125" style="0" customWidth="1"/>
  </cols>
  <sheetData>
    <row r="2" spans="1:9" ht="18">
      <c r="A2" s="208" t="s">
        <v>267</v>
      </c>
      <c r="B2" s="209"/>
      <c r="C2" s="209"/>
      <c r="D2" s="209"/>
      <c r="E2" s="209"/>
      <c r="F2" s="209"/>
      <c r="G2" s="209"/>
      <c r="H2" s="209"/>
      <c r="I2" s="209"/>
    </row>
    <row r="3" spans="1:9" ht="15.75">
      <c r="A3" s="2"/>
      <c r="B3" s="210" t="s">
        <v>246</v>
      </c>
      <c r="C3" s="211"/>
      <c r="D3" s="211"/>
      <c r="E3" s="211"/>
      <c r="F3" s="211"/>
      <c r="G3" s="211"/>
      <c r="H3" s="211"/>
      <c r="I3" s="2"/>
    </row>
    <row r="4" ht="15">
      <c r="I4" s="48" t="s">
        <v>69</v>
      </c>
    </row>
    <row r="5" spans="2:9" ht="15.75">
      <c r="B5" s="25" t="s">
        <v>149</v>
      </c>
      <c r="C5" s="2"/>
      <c r="D5" s="2"/>
      <c r="E5" s="2"/>
      <c r="F5" s="2"/>
      <c r="G5" s="2"/>
      <c r="H5" s="2"/>
      <c r="I5" s="2"/>
    </row>
    <row r="6" spans="2:9" ht="15">
      <c r="B6" s="57" t="s">
        <v>152</v>
      </c>
      <c r="C6" s="57"/>
      <c r="D6" s="2">
        <f>Establish!F6</f>
        <v>1.5</v>
      </c>
      <c r="E6" s="2"/>
      <c r="F6" s="2" t="s">
        <v>292</v>
      </c>
      <c r="G6" s="2"/>
      <c r="H6" s="2"/>
      <c r="I6" s="59"/>
    </row>
    <row r="7" spans="2:9" ht="15">
      <c r="B7" s="57" t="str">
        <f>Establish!F5</f>
        <v>Wheat</v>
      </c>
      <c r="C7" s="47" t="s">
        <v>36</v>
      </c>
      <c r="D7" s="31">
        <f>Establish!F7</f>
        <v>13</v>
      </c>
      <c r="E7" s="48"/>
      <c r="F7" s="48" t="s">
        <v>293</v>
      </c>
      <c r="G7" s="2"/>
      <c r="H7" s="2"/>
      <c r="I7" s="59"/>
    </row>
    <row r="8" spans="2:9" ht="15.75">
      <c r="B8" s="25"/>
      <c r="C8" s="57" t="s">
        <v>37</v>
      </c>
      <c r="D8" s="30">
        <f>D6*D7</f>
        <v>19.5</v>
      </c>
      <c r="E8" s="2"/>
      <c r="F8" s="2" t="s">
        <v>72</v>
      </c>
      <c r="G8" s="2"/>
      <c r="H8" s="2"/>
      <c r="I8" s="59"/>
    </row>
    <row r="9" spans="2:9" ht="15.75">
      <c r="B9" s="25"/>
      <c r="C9" s="2"/>
      <c r="D9" s="2"/>
      <c r="E9" s="2"/>
      <c r="F9" s="2"/>
      <c r="G9" s="2"/>
      <c r="H9" s="2"/>
      <c r="I9" s="2"/>
    </row>
    <row r="10" spans="2:9" ht="15.75">
      <c r="B10" s="57" t="s">
        <v>148</v>
      </c>
      <c r="C10" s="58"/>
      <c r="D10" s="62">
        <f>Establish!F10</f>
        <v>8000</v>
      </c>
      <c r="E10" s="2"/>
      <c r="F10" s="2" t="s">
        <v>103</v>
      </c>
      <c r="G10" s="2"/>
      <c r="H10" s="2"/>
      <c r="I10" s="59"/>
    </row>
    <row r="11" spans="2:9" ht="15">
      <c r="B11" s="2"/>
      <c r="C11" s="57" t="s">
        <v>36</v>
      </c>
      <c r="D11" s="39">
        <f>Establish!F11</f>
        <v>150</v>
      </c>
      <c r="E11" s="48"/>
      <c r="F11" s="2" t="s">
        <v>294</v>
      </c>
      <c r="G11" s="2"/>
      <c r="H11" s="2"/>
      <c r="I11" s="60"/>
    </row>
    <row r="12" spans="2:9" ht="15">
      <c r="B12" s="2"/>
      <c r="C12" s="47" t="s">
        <v>44</v>
      </c>
      <c r="D12" s="89">
        <v>1000</v>
      </c>
      <c r="E12" s="48"/>
      <c r="F12" s="48" t="s">
        <v>295</v>
      </c>
      <c r="G12" s="2"/>
      <c r="H12" s="2"/>
      <c r="I12" s="60"/>
    </row>
    <row r="13" spans="2:9" ht="15.75">
      <c r="B13" s="2"/>
      <c r="C13" s="57" t="s">
        <v>37</v>
      </c>
      <c r="D13" s="30">
        <f>D10*D11/1000</f>
        <v>1200</v>
      </c>
      <c r="E13" s="25"/>
      <c r="F13" s="2" t="s">
        <v>59</v>
      </c>
      <c r="G13" s="2"/>
      <c r="H13" s="2"/>
      <c r="I13" s="60"/>
    </row>
    <row r="14" spans="2:9" ht="15.75">
      <c r="B14" s="2"/>
      <c r="C14" s="57"/>
      <c r="D14" s="30"/>
      <c r="E14" s="25"/>
      <c r="F14" s="2"/>
      <c r="G14" s="2"/>
      <c r="H14" s="2"/>
      <c r="I14" s="59"/>
    </row>
    <row r="15" spans="2:9" ht="15.75">
      <c r="B15" s="25" t="s">
        <v>153</v>
      </c>
      <c r="C15" s="25"/>
      <c r="D15" s="34">
        <f>D8+D13</f>
        <v>1219.5</v>
      </c>
      <c r="E15" s="25"/>
      <c r="F15" s="25" t="s">
        <v>59</v>
      </c>
      <c r="I15" s="94"/>
    </row>
    <row r="16" spans="2:9" ht="15.75">
      <c r="B16" s="25"/>
      <c r="C16" s="25"/>
      <c r="D16" s="34"/>
      <c r="E16" s="25"/>
      <c r="F16" s="25"/>
      <c r="I16" s="100"/>
    </row>
    <row r="17" ht="15.75">
      <c r="B17" s="25" t="s">
        <v>27</v>
      </c>
    </row>
    <row r="18" ht="15.75">
      <c r="B18" s="25" t="s">
        <v>38</v>
      </c>
    </row>
    <row r="19" spans="2:9" ht="15">
      <c r="B19" s="2" t="s">
        <v>182</v>
      </c>
      <c r="C19" s="2"/>
      <c r="D19" s="62">
        <f>Establish!C17</f>
        <v>0</v>
      </c>
      <c r="E19" s="2"/>
      <c r="F19" s="2" t="s">
        <v>75</v>
      </c>
      <c r="G19" s="2"/>
      <c r="H19" s="2"/>
      <c r="I19" s="59"/>
    </row>
    <row r="20" spans="2:9" ht="15">
      <c r="B20" s="2" t="s">
        <v>183</v>
      </c>
      <c r="C20" s="57" t="s">
        <v>40</v>
      </c>
      <c r="D20" s="99">
        <f>Establish!C18</f>
        <v>70</v>
      </c>
      <c r="E20" s="2"/>
      <c r="F20" s="2" t="s">
        <v>75</v>
      </c>
      <c r="G20" s="2"/>
      <c r="H20" s="2"/>
      <c r="I20" s="59"/>
    </row>
    <row r="21" spans="3:9" ht="15">
      <c r="C21" s="47" t="s">
        <v>36</v>
      </c>
      <c r="D21" s="65">
        <f>Establish!C15</f>
        <v>0.64</v>
      </c>
      <c r="E21" s="2"/>
      <c r="F21" s="48" t="s">
        <v>184</v>
      </c>
      <c r="G21" s="2"/>
      <c r="H21" s="2"/>
      <c r="I21" s="60"/>
    </row>
    <row r="22" spans="2:9" ht="15">
      <c r="B22" s="2"/>
      <c r="C22" s="57" t="s">
        <v>37</v>
      </c>
      <c r="D22" s="39">
        <f>(D19+D20)*D21</f>
        <v>44.800000000000004</v>
      </c>
      <c r="E22" s="2"/>
      <c r="F22" s="2" t="s">
        <v>59</v>
      </c>
      <c r="G22" s="2"/>
      <c r="H22" s="2"/>
      <c r="I22" s="60"/>
    </row>
    <row r="23" spans="2:9" ht="18.75">
      <c r="B23" s="25" t="s">
        <v>96</v>
      </c>
      <c r="C23" s="57"/>
      <c r="D23" s="39"/>
      <c r="E23" s="2"/>
      <c r="F23" s="2"/>
      <c r="G23" s="2"/>
      <c r="H23" s="2"/>
      <c r="I23" s="54"/>
    </row>
    <row r="24" spans="2:9" ht="15">
      <c r="B24" s="2" t="s">
        <v>182</v>
      </c>
      <c r="C24" s="57"/>
      <c r="D24" s="62">
        <f>Establish!D17</f>
        <v>0</v>
      </c>
      <c r="E24" s="2"/>
      <c r="F24" s="2" t="s">
        <v>75</v>
      </c>
      <c r="G24" s="2"/>
      <c r="H24" s="2"/>
      <c r="I24" s="59"/>
    </row>
    <row r="25" spans="2:9" ht="15">
      <c r="B25" s="2" t="s">
        <v>183</v>
      </c>
      <c r="C25" s="57"/>
      <c r="D25" s="63">
        <f>Establish!D18</f>
        <v>100</v>
      </c>
      <c r="E25" s="2"/>
      <c r="F25" s="2" t="s">
        <v>75</v>
      </c>
      <c r="G25" s="2"/>
      <c r="H25" s="2"/>
      <c r="I25" s="59"/>
    </row>
    <row r="26" spans="3:9" ht="15">
      <c r="C26" s="47" t="s">
        <v>36</v>
      </c>
      <c r="D26" s="65">
        <f>Establish!D15</f>
        <v>0.53</v>
      </c>
      <c r="E26" s="2"/>
      <c r="F26" s="48" t="s">
        <v>184</v>
      </c>
      <c r="G26" s="2"/>
      <c r="H26" s="2"/>
      <c r="I26" s="60"/>
    </row>
    <row r="27" spans="2:9" ht="15">
      <c r="B27" s="2"/>
      <c r="C27" s="57" t="s">
        <v>37</v>
      </c>
      <c r="D27" s="39">
        <f>(D24+D25)*D26</f>
        <v>53</v>
      </c>
      <c r="E27" s="2"/>
      <c r="F27" s="2" t="s">
        <v>59</v>
      </c>
      <c r="G27" s="2"/>
      <c r="H27" s="2"/>
      <c r="I27" s="60"/>
    </row>
    <row r="28" spans="2:9" ht="18.75">
      <c r="B28" s="25" t="s">
        <v>97</v>
      </c>
      <c r="C28" s="57"/>
      <c r="D28" s="39"/>
      <c r="E28" s="2"/>
      <c r="F28" s="2"/>
      <c r="G28" s="2"/>
      <c r="H28" s="2"/>
      <c r="I28" s="54"/>
    </row>
    <row r="29" spans="2:9" ht="15">
      <c r="B29" s="2" t="s">
        <v>182</v>
      </c>
      <c r="C29" s="2"/>
      <c r="D29" s="62">
        <f>Establish!E17</f>
        <v>0</v>
      </c>
      <c r="E29" s="2"/>
      <c r="F29" s="2" t="s">
        <v>75</v>
      </c>
      <c r="G29" s="2"/>
      <c r="H29" s="2"/>
      <c r="I29" s="59"/>
    </row>
    <row r="30" spans="2:9" ht="15">
      <c r="B30" s="2" t="s">
        <v>183</v>
      </c>
      <c r="C30" s="2"/>
      <c r="D30" s="62">
        <f>Establish!E18</f>
        <v>30</v>
      </c>
      <c r="E30" s="2"/>
      <c r="F30" s="2" t="s">
        <v>75</v>
      </c>
      <c r="G30" s="2"/>
      <c r="H30" s="2"/>
      <c r="I30" s="59"/>
    </row>
    <row r="31" spans="3:9" ht="15">
      <c r="C31" s="47" t="s">
        <v>36</v>
      </c>
      <c r="D31" s="65">
        <f>Establish!E15</f>
        <v>0.49</v>
      </c>
      <c r="E31" s="2"/>
      <c r="F31" s="48" t="s">
        <v>184</v>
      </c>
      <c r="G31" s="2"/>
      <c r="H31" s="2"/>
      <c r="I31" s="60"/>
    </row>
    <row r="32" spans="2:9" ht="15">
      <c r="B32" s="2"/>
      <c r="C32" s="57" t="s">
        <v>37</v>
      </c>
      <c r="D32" s="39">
        <f>(D29+D30)*D31</f>
        <v>14.7</v>
      </c>
      <c r="E32" s="2"/>
      <c r="F32" s="2" t="s">
        <v>59</v>
      </c>
      <c r="G32" s="2"/>
      <c r="H32" s="2"/>
      <c r="I32" s="60"/>
    </row>
    <row r="33" spans="2:9" ht="15.75">
      <c r="B33" s="25" t="s">
        <v>39</v>
      </c>
      <c r="C33" s="57"/>
      <c r="D33" s="39"/>
      <c r="E33" s="2"/>
      <c r="F33" s="2"/>
      <c r="G33" s="2"/>
      <c r="H33" s="2"/>
      <c r="I33" s="54"/>
    </row>
    <row r="34" spans="2:9" ht="15">
      <c r="B34" s="2" t="s">
        <v>182</v>
      </c>
      <c r="C34" s="57"/>
      <c r="D34" s="62">
        <f>Establish!F17</f>
        <v>0</v>
      </c>
      <c r="E34" s="2"/>
      <c r="F34" s="2" t="s">
        <v>75</v>
      </c>
      <c r="G34" s="2"/>
      <c r="H34" s="2"/>
      <c r="I34" s="59"/>
    </row>
    <row r="35" spans="2:9" ht="15">
      <c r="B35" s="2" t="s">
        <v>183</v>
      </c>
      <c r="C35" s="57"/>
      <c r="D35" s="62">
        <f>Establish!F18</f>
        <v>15</v>
      </c>
      <c r="E35" s="2"/>
      <c r="F35" s="2"/>
      <c r="G35" s="2"/>
      <c r="H35" s="2"/>
      <c r="I35" s="59"/>
    </row>
    <row r="36" spans="3:9" ht="15">
      <c r="C36" s="47" t="s">
        <v>36</v>
      </c>
      <c r="D36" s="65">
        <f>Establish!F15</f>
        <v>0.43</v>
      </c>
      <c r="E36" s="2"/>
      <c r="F36" s="48" t="s">
        <v>76</v>
      </c>
      <c r="G36" s="2"/>
      <c r="H36" s="2"/>
      <c r="I36" s="60"/>
    </row>
    <row r="37" spans="2:9" ht="15">
      <c r="B37" s="2"/>
      <c r="C37" s="57" t="s">
        <v>37</v>
      </c>
      <c r="D37" s="39">
        <f>(D34+D35)*D36</f>
        <v>6.45</v>
      </c>
      <c r="E37" s="2"/>
      <c r="F37" s="2" t="s">
        <v>59</v>
      </c>
      <c r="G37" s="2"/>
      <c r="H37" s="2"/>
      <c r="I37" s="60"/>
    </row>
    <row r="38" spans="2:9" ht="15.75">
      <c r="B38" s="25" t="s">
        <v>95</v>
      </c>
      <c r="C38" s="57"/>
      <c r="D38" s="39"/>
      <c r="E38" s="2"/>
      <c r="F38" s="2"/>
      <c r="G38" s="2"/>
      <c r="H38" s="2"/>
      <c r="I38" s="59"/>
    </row>
    <row r="39" spans="1:9" ht="15">
      <c r="A39" s="2"/>
      <c r="B39" s="2" t="s">
        <v>182</v>
      </c>
      <c r="C39" s="57"/>
      <c r="D39" s="62">
        <f>Establish!G17</f>
        <v>0</v>
      </c>
      <c r="E39" s="2"/>
      <c r="F39" s="2" t="s">
        <v>75</v>
      </c>
      <c r="G39" s="2"/>
      <c r="H39" s="2"/>
      <c r="I39" s="59"/>
    </row>
    <row r="40" spans="1:9" ht="15">
      <c r="A40" s="2"/>
      <c r="B40" s="2" t="s">
        <v>183</v>
      </c>
      <c r="D40">
        <f>Establish!G18</f>
        <v>6</v>
      </c>
      <c r="G40" s="2"/>
      <c r="H40" s="2"/>
      <c r="I40" s="60"/>
    </row>
    <row r="41" spans="1:9" ht="15">
      <c r="A41" s="2"/>
      <c r="B41" s="2"/>
      <c r="C41" s="47" t="s">
        <v>36</v>
      </c>
      <c r="D41" s="65">
        <f>Establish!G15</f>
        <v>1.5</v>
      </c>
      <c r="E41" s="2"/>
      <c r="F41" s="48" t="s">
        <v>76</v>
      </c>
      <c r="G41" s="2"/>
      <c r="H41" s="2"/>
      <c r="I41" s="60"/>
    </row>
    <row r="42" spans="1:9" ht="15">
      <c r="A42" s="2"/>
      <c r="B42" s="2"/>
      <c r="C42" s="57" t="s">
        <v>37</v>
      </c>
      <c r="D42" s="39">
        <f>(D39+D40)*D41</f>
        <v>9</v>
      </c>
      <c r="E42" s="2"/>
      <c r="F42" s="2" t="s">
        <v>59</v>
      </c>
      <c r="G42" s="2"/>
      <c r="H42" s="2"/>
      <c r="I42" s="54"/>
    </row>
    <row r="43" spans="1:9" ht="15">
      <c r="A43" s="2"/>
      <c r="B43" s="2"/>
      <c r="C43" s="57"/>
      <c r="D43" s="39"/>
      <c r="E43" s="2"/>
      <c r="F43" s="2"/>
      <c r="G43" s="2"/>
      <c r="H43" s="2"/>
      <c r="I43" s="54"/>
    </row>
    <row r="44" spans="1:9" ht="15.75">
      <c r="A44" s="2"/>
      <c r="B44" s="25" t="s">
        <v>92</v>
      </c>
      <c r="G44" s="2"/>
      <c r="H44" s="2"/>
      <c r="I44" s="54"/>
    </row>
    <row r="45" spans="1:9" ht="15">
      <c r="A45" s="2"/>
      <c r="B45" s="2" t="s">
        <v>182</v>
      </c>
      <c r="C45" s="57" t="s">
        <v>37</v>
      </c>
      <c r="D45" s="39">
        <f>Establish!D20</f>
        <v>1.75</v>
      </c>
      <c r="E45" s="2"/>
      <c r="F45" s="2" t="s">
        <v>72</v>
      </c>
      <c r="G45" s="2"/>
      <c r="H45" s="2"/>
      <c r="I45" s="59"/>
    </row>
    <row r="46" spans="1:9" ht="15">
      <c r="A46" s="2"/>
      <c r="B46" s="2" t="s">
        <v>183</v>
      </c>
      <c r="C46" s="47" t="s">
        <v>37</v>
      </c>
      <c r="D46" s="64">
        <f>Establish!D20</f>
        <v>1.75</v>
      </c>
      <c r="E46" s="48"/>
      <c r="F46" s="48" t="s">
        <v>72</v>
      </c>
      <c r="G46" s="2"/>
      <c r="H46" s="2"/>
      <c r="I46" s="59"/>
    </row>
    <row r="47" spans="1:9" ht="15">
      <c r="A47" s="2"/>
      <c r="B47" s="2" t="s">
        <v>220</v>
      </c>
      <c r="C47" s="57" t="s">
        <v>37</v>
      </c>
      <c r="D47" s="39">
        <f>D45+D46</f>
        <v>3.5</v>
      </c>
      <c r="E47" s="2"/>
      <c r="F47" s="2" t="s">
        <v>72</v>
      </c>
      <c r="G47" s="2"/>
      <c r="H47" s="2"/>
      <c r="I47" s="59"/>
    </row>
    <row r="48" spans="1:9" ht="15">
      <c r="A48" s="2"/>
      <c r="B48" s="2"/>
      <c r="C48" s="57"/>
      <c r="D48" s="39"/>
      <c r="E48" s="2"/>
      <c r="F48" s="2"/>
      <c r="G48" s="2"/>
      <c r="H48" s="2"/>
      <c r="I48" s="54"/>
    </row>
    <row r="49" spans="1:9" ht="15.75">
      <c r="A49" s="2"/>
      <c r="B49" s="95" t="s">
        <v>175</v>
      </c>
      <c r="C49" s="58" t="s">
        <v>37</v>
      </c>
      <c r="D49" s="61">
        <f>D22+D27+D32+D37+D42+D47</f>
        <v>131.45000000000002</v>
      </c>
      <c r="E49" s="25"/>
      <c r="F49" s="25" t="s">
        <v>72</v>
      </c>
      <c r="G49" s="2"/>
      <c r="H49" s="2"/>
      <c r="I49" s="59"/>
    </row>
    <row r="50" spans="1:9" ht="15">
      <c r="A50" s="2"/>
      <c r="B50" s="2"/>
      <c r="C50" s="57"/>
      <c r="D50" s="39"/>
      <c r="E50" s="2"/>
      <c r="F50" s="2"/>
      <c r="G50" s="2"/>
      <c r="H50" s="2"/>
      <c r="I50" s="54"/>
    </row>
    <row r="51" spans="1:2" ht="15.75">
      <c r="A51" s="2"/>
      <c r="B51" s="25" t="s">
        <v>74</v>
      </c>
    </row>
    <row r="52" spans="1:9" ht="15">
      <c r="A52" s="2"/>
      <c r="B52" s="2" t="s">
        <v>165</v>
      </c>
      <c r="C52" s="2"/>
      <c r="D52" s="39">
        <f>Establish!C25</f>
        <v>0</v>
      </c>
      <c r="E52" s="2"/>
      <c r="F52" s="2" t="s">
        <v>84</v>
      </c>
      <c r="G52" s="2"/>
      <c r="H52" s="2"/>
      <c r="I52" s="59"/>
    </row>
    <row r="53" spans="1:9" ht="15">
      <c r="A53" s="2"/>
      <c r="B53" s="2"/>
      <c r="C53" s="57" t="s">
        <v>40</v>
      </c>
      <c r="D53" s="39">
        <f>Establish!D25</f>
        <v>10</v>
      </c>
      <c r="E53" s="2"/>
      <c r="F53" s="2" t="s">
        <v>311</v>
      </c>
      <c r="G53" s="2"/>
      <c r="H53" s="2"/>
      <c r="I53" s="59"/>
    </row>
    <row r="54" spans="1:9" ht="15">
      <c r="A54" s="2"/>
      <c r="B54" s="2"/>
      <c r="C54" s="47" t="s">
        <v>40</v>
      </c>
      <c r="D54" s="31">
        <f>Establish!E25</f>
        <v>1</v>
      </c>
      <c r="E54" s="48"/>
      <c r="F54" s="48" t="s">
        <v>117</v>
      </c>
      <c r="H54" s="2"/>
      <c r="I54" s="60"/>
    </row>
    <row r="55" spans="1:9" ht="15">
      <c r="A55" s="2"/>
      <c r="B55" s="2"/>
      <c r="C55" s="57" t="s">
        <v>37</v>
      </c>
      <c r="D55" s="39">
        <f>D52+D53+D54</f>
        <v>11</v>
      </c>
      <c r="E55" s="2"/>
      <c r="F55" s="2" t="s">
        <v>59</v>
      </c>
      <c r="G55" s="2"/>
      <c r="H55" s="2"/>
      <c r="I55" s="60"/>
    </row>
    <row r="56" spans="1:9" ht="15">
      <c r="A56" s="2"/>
      <c r="B56" s="2" t="s">
        <v>176</v>
      </c>
      <c r="C56" s="57"/>
      <c r="D56" s="39"/>
      <c r="E56" s="2"/>
      <c r="F56" s="2"/>
      <c r="G56" s="2"/>
      <c r="H56" s="2"/>
      <c r="I56" s="54"/>
    </row>
    <row r="57" spans="1:9" ht="15">
      <c r="A57" s="2"/>
      <c r="B57" s="2"/>
      <c r="C57" s="57"/>
      <c r="D57" s="39">
        <f>Establish!C26</f>
        <v>0</v>
      </c>
      <c r="E57" s="2"/>
      <c r="F57" s="2" t="s">
        <v>282</v>
      </c>
      <c r="G57" s="2"/>
      <c r="H57" s="2"/>
      <c r="I57" s="59"/>
    </row>
    <row r="58" spans="1:9" ht="15">
      <c r="A58" s="2"/>
      <c r="B58" s="2"/>
      <c r="C58" s="57" t="s">
        <v>40</v>
      </c>
      <c r="D58" s="39">
        <f>Establish!D26</f>
        <v>15</v>
      </c>
      <c r="E58" s="2"/>
      <c r="F58" s="2" t="s">
        <v>310</v>
      </c>
      <c r="G58" s="2"/>
      <c r="H58" s="2"/>
      <c r="I58" s="59"/>
    </row>
    <row r="59" spans="1:9" ht="15">
      <c r="A59" s="2"/>
      <c r="B59" s="2"/>
      <c r="C59" s="47" t="s">
        <v>40</v>
      </c>
      <c r="D59" s="31">
        <f>Establish!E26</f>
        <v>0</v>
      </c>
      <c r="E59" s="48"/>
      <c r="F59" s="48" t="s">
        <v>117</v>
      </c>
      <c r="H59" s="2"/>
      <c r="I59" s="59"/>
    </row>
    <row r="60" spans="1:9" ht="15">
      <c r="A60" s="2"/>
      <c r="B60" s="2"/>
      <c r="C60" s="57" t="s">
        <v>37</v>
      </c>
      <c r="D60" s="39">
        <f>D57+D58+D59</f>
        <v>15</v>
      </c>
      <c r="E60" s="2"/>
      <c r="F60" s="2" t="s">
        <v>59</v>
      </c>
      <c r="G60" s="2"/>
      <c r="H60" s="2"/>
      <c r="I60" s="59"/>
    </row>
    <row r="61" spans="1:9" ht="15.75">
      <c r="A61" s="2"/>
      <c r="B61" s="2"/>
      <c r="C61" s="58"/>
      <c r="D61" s="61"/>
      <c r="E61" s="2"/>
      <c r="F61" s="25"/>
      <c r="G61" s="2"/>
      <c r="H61" s="2"/>
      <c r="I61" s="54"/>
    </row>
    <row r="62" spans="1:9" ht="15.75">
      <c r="A62" s="2"/>
      <c r="B62" s="57" t="s">
        <v>70</v>
      </c>
      <c r="C62" s="58" t="s">
        <v>37</v>
      </c>
      <c r="D62" s="61">
        <f>D55+D60</f>
        <v>26</v>
      </c>
      <c r="E62" s="2"/>
      <c r="F62" s="25" t="s">
        <v>59</v>
      </c>
      <c r="G62" s="2"/>
      <c r="H62" s="2"/>
      <c r="I62" s="59"/>
    </row>
    <row r="63" spans="1:9" ht="15.75">
      <c r="A63" s="2"/>
      <c r="B63" s="57"/>
      <c r="C63" s="58"/>
      <c r="D63" s="61"/>
      <c r="E63" s="2"/>
      <c r="F63" s="25"/>
      <c r="G63" s="2"/>
      <c r="H63" s="2"/>
      <c r="I63" s="54"/>
    </row>
    <row r="64" spans="1:9" ht="15.75">
      <c r="A64" s="2"/>
      <c r="B64" s="25" t="s">
        <v>177</v>
      </c>
      <c r="C64" s="58"/>
      <c r="D64" s="61"/>
      <c r="E64" s="2"/>
      <c r="F64" s="25"/>
      <c r="G64" s="2"/>
      <c r="H64" s="2"/>
      <c r="I64" s="54"/>
    </row>
    <row r="65" spans="1:9" ht="15.75">
      <c r="A65" s="2"/>
      <c r="B65" s="2" t="s">
        <v>165</v>
      </c>
      <c r="C65" s="58"/>
      <c r="D65" s="39">
        <f>Establish!C31</f>
        <v>0</v>
      </c>
      <c r="E65" s="2"/>
      <c r="F65" s="2" t="s">
        <v>185</v>
      </c>
      <c r="G65" s="2"/>
      <c r="H65" s="2"/>
      <c r="I65" s="59"/>
    </row>
    <row r="66" spans="1:9" ht="15">
      <c r="A66" s="2"/>
      <c r="B66" s="57"/>
      <c r="C66" s="57" t="s">
        <v>40</v>
      </c>
      <c r="D66" s="39">
        <f>Establish!D31</f>
        <v>0</v>
      </c>
      <c r="E66" s="2"/>
      <c r="F66" s="2" t="s">
        <v>186</v>
      </c>
      <c r="G66" s="2"/>
      <c r="H66" s="2"/>
      <c r="I66" s="59"/>
    </row>
    <row r="67" spans="1:9" ht="15">
      <c r="A67" s="2"/>
      <c r="B67" s="57"/>
      <c r="C67" s="47" t="s">
        <v>40</v>
      </c>
      <c r="D67" s="64">
        <f>Establish!E31</f>
        <v>0</v>
      </c>
      <c r="E67" s="48"/>
      <c r="F67" s="48" t="s">
        <v>187</v>
      </c>
      <c r="G67" s="2"/>
      <c r="H67" s="2"/>
      <c r="I67" s="59"/>
    </row>
    <row r="68" spans="1:9" ht="15.75">
      <c r="A68" s="2"/>
      <c r="B68" s="57"/>
      <c r="C68" s="58" t="s">
        <v>37</v>
      </c>
      <c r="D68" s="61">
        <f>D65+D66+D67</f>
        <v>0</v>
      </c>
      <c r="E68" s="2"/>
      <c r="F68" s="2" t="s">
        <v>59</v>
      </c>
      <c r="G68" s="2"/>
      <c r="H68" s="2"/>
      <c r="I68" s="59"/>
    </row>
    <row r="69" spans="1:9" ht="15.75">
      <c r="A69" s="2"/>
      <c r="B69" s="57"/>
      <c r="C69" s="58"/>
      <c r="D69" s="61"/>
      <c r="E69" s="2"/>
      <c r="F69" s="25"/>
      <c r="G69" s="2"/>
      <c r="H69" s="2"/>
      <c r="I69" s="54"/>
    </row>
    <row r="70" spans="1:9" ht="15.75">
      <c r="A70" s="2"/>
      <c r="B70" s="57" t="s">
        <v>157</v>
      </c>
      <c r="C70" s="58"/>
      <c r="D70" s="39">
        <f>Establish!C32</f>
        <v>0</v>
      </c>
      <c r="E70" s="2"/>
      <c r="F70" s="2" t="s">
        <v>185</v>
      </c>
      <c r="G70" s="2"/>
      <c r="H70" s="2"/>
      <c r="I70" s="59"/>
    </row>
    <row r="71" spans="1:9" ht="15">
      <c r="A71" s="2"/>
      <c r="B71" s="57"/>
      <c r="C71" s="57" t="s">
        <v>40</v>
      </c>
      <c r="D71" s="39">
        <f>Establish!D32</f>
        <v>0</v>
      </c>
      <c r="E71" s="2"/>
      <c r="F71" s="2" t="s">
        <v>186</v>
      </c>
      <c r="G71" s="2"/>
      <c r="H71" s="2"/>
      <c r="I71" s="59"/>
    </row>
    <row r="72" spans="1:9" ht="15">
      <c r="A72" s="2"/>
      <c r="B72" s="57"/>
      <c r="C72" s="47" t="s">
        <v>40</v>
      </c>
      <c r="D72" s="64">
        <f>Establish!E32</f>
        <v>0</v>
      </c>
      <c r="E72" s="2"/>
      <c r="F72" s="48" t="s">
        <v>187</v>
      </c>
      <c r="G72" s="2"/>
      <c r="H72" s="2"/>
      <c r="I72" s="59"/>
    </row>
    <row r="73" spans="1:9" ht="15.75">
      <c r="A73" s="2"/>
      <c r="B73" s="57"/>
      <c r="C73" s="58" t="s">
        <v>37</v>
      </c>
      <c r="D73" s="61">
        <f>D70+D71+D72</f>
        <v>0</v>
      </c>
      <c r="E73" s="2"/>
      <c r="F73" s="2" t="s">
        <v>59</v>
      </c>
      <c r="G73" s="2"/>
      <c r="H73" s="2"/>
      <c r="I73" s="59"/>
    </row>
    <row r="74" spans="1:9" ht="15.75">
      <c r="A74" s="2"/>
      <c r="B74" s="57"/>
      <c r="C74" s="58"/>
      <c r="D74" s="61"/>
      <c r="E74" s="2"/>
      <c r="F74" s="25"/>
      <c r="G74" s="2"/>
      <c r="H74" s="2"/>
      <c r="I74" s="54"/>
    </row>
    <row r="75" spans="1:9" ht="15.75">
      <c r="A75" s="2"/>
      <c r="B75" s="57" t="s">
        <v>70</v>
      </c>
      <c r="C75" s="58" t="s">
        <v>37</v>
      </c>
      <c r="D75" s="61">
        <f>D68+D73</f>
        <v>0</v>
      </c>
      <c r="E75" s="2"/>
      <c r="F75" s="2" t="s">
        <v>59</v>
      </c>
      <c r="G75" s="2"/>
      <c r="H75" s="2"/>
      <c r="I75" s="59"/>
    </row>
    <row r="76" spans="1:9" ht="15.75">
      <c r="A76" s="2"/>
      <c r="B76" s="57"/>
      <c r="C76" s="58"/>
      <c r="D76" s="61"/>
      <c r="E76" s="2"/>
      <c r="F76" s="25"/>
      <c r="G76" s="2"/>
      <c r="H76" s="2"/>
      <c r="I76" s="54"/>
    </row>
    <row r="77" spans="1:9" ht="15.75">
      <c r="A77" s="2"/>
      <c r="B77" s="25" t="s">
        <v>178</v>
      </c>
      <c r="C77" s="58"/>
      <c r="D77" s="61"/>
      <c r="E77" s="2"/>
      <c r="F77" s="25"/>
      <c r="G77" s="2"/>
      <c r="H77" s="2"/>
      <c r="I77" s="54"/>
    </row>
    <row r="78" spans="1:9" ht="15.75">
      <c r="A78" s="2"/>
      <c r="B78" s="2" t="s">
        <v>165</v>
      </c>
      <c r="C78" s="58"/>
      <c r="D78" s="39">
        <f>Establish!C37</f>
        <v>0</v>
      </c>
      <c r="E78" s="2"/>
      <c r="F78" s="2" t="s">
        <v>188</v>
      </c>
      <c r="G78" s="2"/>
      <c r="H78" s="2"/>
      <c r="I78" s="59"/>
    </row>
    <row r="79" spans="1:9" ht="15.75">
      <c r="A79" s="2"/>
      <c r="B79" s="25"/>
      <c r="C79" s="57" t="s">
        <v>40</v>
      </c>
      <c r="D79" s="39">
        <f>Establish!D37</f>
        <v>0</v>
      </c>
      <c r="E79" s="2"/>
      <c r="F79" s="2" t="s">
        <v>189</v>
      </c>
      <c r="G79" s="2"/>
      <c r="H79" s="2"/>
      <c r="I79" s="59"/>
    </row>
    <row r="80" spans="1:9" ht="15.75">
      <c r="A80" s="2"/>
      <c r="B80" s="25"/>
      <c r="C80" s="47" t="s">
        <v>40</v>
      </c>
      <c r="D80" s="64">
        <f>Establish!E37</f>
        <v>0</v>
      </c>
      <c r="E80" s="48"/>
      <c r="F80" s="48" t="s">
        <v>190</v>
      </c>
      <c r="G80" s="2"/>
      <c r="H80" s="2"/>
      <c r="I80" s="59"/>
    </row>
    <row r="81" spans="1:9" ht="15.75">
      <c r="A81" s="2"/>
      <c r="B81" s="25"/>
      <c r="C81" s="58" t="s">
        <v>37</v>
      </c>
      <c r="D81" s="39">
        <f>SUM(D78:D80)</f>
        <v>0</v>
      </c>
      <c r="E81" s="2"/>
      <c r="F81" s="2" t="s">
        <v>72</v>
      </c>
      <c r="G81" s="2"/>
      <c r="H81" s="2"/>
      <c r="I81" s="59"/>
    </row>
    <row r="82" spans="1:9" ht="15.75">
      <c r="A82" s="2"/>
      <c r="B82" s="25"/>
      <c r="C82" s="58"/>
      <c r="D82" s="61"/>
      <c r="E82" s="2"/>
      <c r="F82" s="25"/>
      <c r="G82" s="2"/>
      <c r="H82" s="2"/>
      <c r="I82" s="54"/>
    </row>
    <row r="83" spans="1:9" ht="15">
      <c r="A83" s="2"/>
      <c r="B83" s="57" t="s">
        <v>157</v>
      </c>
      <c r="C83" s="57"/>
      <c r="D83" s="39">
        <f>Establish!C38</f>
        <v>0</v>
      </c>
      <c r="E83" s="2"/>
      <c r="F83" s="2" t="s">
        <v>188</v>
      </c>
      <c r="G83" s="2"/>
      <c r="H83" s="2"/>
      <c r="I83" s="59"/>
    </row>
    <row r="84" spans="1:9" ht="15.75">
      <c r="A84" s="2"/>
      <c r="B84" s="25"/>
      <c r="C84" s="57" t="s">
        <v>40</v>
      </c>
      <c r="D84" s="39">
        <f>Establish!D38</f>
        <v>0</v>
      </c>
      <c r="E84" s="2"/>
      <c r="F84" s="2" t="s">
        <v>189</v>
      </c>
      <c r="G84" s="2"/>
      <c r="H84" s="2"/>
      <c r="I84" s="59"/>
    </row>
    <row r="85" spans="1:9" ht="15.75">
      <c r="A85" s="2"/>
      <c r="B85" s="25"/>
      <c r="C85" s="47" t="s">
        <v>40</v>
      </c>
      <c r="D85" s="64">
        <f>Establish!E38</f>
        <v>0</v>
      </c>
      <c r="E85" s="2"/>
      <c r="F85" s="48" t="s">
        <v>190</v>
      </c>
      <c r="G85" s="2"/>
      <c r="H85" s="2"/>
      <c r="I85" s="59"/>
    </row>
    <row r="86" spans="1:9" ht="15.75">
      <c r="A86" s="2"/>
      <c r="B86" s="25"/>
      <c r="C86" s="58" t="s">
        <v>37</v>
      </c>
      <c r="D86" s="39">
        <f>SUM(D83:D85)</f>
        <v>0</v>
      </c>
      <c r="E86" s="2"/>
      <c r="F86" s="2" t="s">
        <v>72</v>
      </c>
      <c r="G86" s="2"/>
      <c r="H86" s="2"/>
      <c r="I86" s="59"/>
    </row>
    <row r="87" spans="1:9" ht="15.75">
      <c r="A87" s="2"/>
      <c r="B87" s="25"/>
      <c r="C87" s="58"/>
      <c r="D87" s="61"/>
      <c r="E87" s="2"/>
      <c r="F87" s="25"/>
      <c r="G87" s="2"/>
      <c r="H87" s="2"/>
      <c r="I87" s="54"/>
    </row>
    <row r="88" spans="1:9" ht="15.75">
      <c r="A88" s="2"/>
      <c r="B88" s="58" t="s">
        <v>70</v>
      </c>
      <c r="C88" s="58" t="s">
        <v>37</v>
      </c>
      <c r="D88" s="61">
        <f>D81+D86</f>
        <v>0</v>
      </c>
      <c r="E88" s="2"/>
      <c r="F88" s="25" t="s">
        <v>72</v>
      </c>
      <c r="G88" s="2"/>
      <c r="H88" s="2"/>
      <c r="I88" s="59"/>
    </row>
    <row r="89" spans="1:9" ht="15.75">
      <c r="A89" s="2"/>
      <c r="B89" s="25"/>
      <c r="C89" s="58"/>
      <c r="D89" s="61"/>
      <c r="E89" s="2"/>
      <c r="F89" s="25"/>
      <c r="G89" s="2"/>
      <c r="H89" s="2"/>
      <c r="I89" s="54"/>
    </row>
    <row r="90" spans="1:9" ht="15.75">
      <c r="A90" s="2"/>
      <c r="B90" s="25"/>
      <c r="C90" s="58"/>
      <c r="D90" s="61"/>
      <c r="E90" s="2"/>
      <c r="F90" s="25"/>
      <c r="G90" s="2"/>
      <c r="H90" s="2"/>
      <c r="I90" s="54"/>
    </row>
    <row r="91" spans="1:2" ht="15.75">
      <c r="A91" s="2"/>
      <c r="B91" s="25" t="s">
        <v>179</v>
      </c>
    </row>
    <row r="92" spans="1:13" ht="15.75">
      <c r="A92" s="2"/>
      <c r="B92" s="25" t="s">
        <v>105</v>
      </c>
      <c r="K92" s="92" t="s">
        <v>145</v>
      </c>
      <c r="L92" s="57" t="s">
        <v>41</v>
      </c>
      <c r="M92" s="57" t="s">
        <v>42</v>
      </c>
    </row>
    <row r="93" spans="1:13" ht="15.75">
      <c r="A93" s="2"/>
      <c r="B93" s="25" t="s">
        <v>118</v>
      </c>
      <c r="C93" s="2"/>
      <c r="D93" s="58" t="s">
        <v>9</v>
      </c>
      <c r="E93" s="2"/>
      <c r="F93" s="58" t="s">
        <v>10</v>
      </c>
      <c r="G93" s="58" t="s">
        <v>11</v>
      </c>
      <c r="H93" s="58" t="s">
        <v>50</v>
      </c>
      <c r="K93" s="93" t="s">
        <v>146</v>
      </c>
      <c r="L93" s="47" t="s">
        <v>147</v>
      </c>
      <c r="M93" s="47" t="s">
        <v>43</v>
      </c>
    </row>
    <row r="94" spans="1:8" ht="15.75">
      <c r="A94" s="2"/>
      <c r="B94" s="29" t="s">
        <v>13</v>
      </c>
      <c r="C94" s="2"/>
      <c r="D94" s="46" t="s">
        <v>14</v>
      </c>
      <c r="E94" s="2"/>
      <c r="F94" s="46" t="s">
        <v>48</v>
      </c>
      <c r="G94" s="46" t="s">
        <v>49</v>
      </c>
      <c r="H94" s="46" t="s">
        <v>51</v>
      </c>
    </row>
    <row r="95" spans="1:15" ht="15">
      <c r="A95" s="2"/>
      <c r="B95" s="97" t="str">
        <f>Establish!B43</f>
        <v>Cultivate</v>
      </c>
      <c r="D95" s="91">
        <f>Establish!C43</f>
        <v>1</v>
      </c>
      <c r="F95" s="91">
        <f>Establish!D43</f>
        <v>18</v>
      </c>
      <c r="G95" s="91">
        <f>Establish!E43</f>
        <v>5</v>
      </c>
      <c r="H95" s="83">
        <f>(0.315*(Establish!F43*0.75))*L95*Input!$E$6</f>
        <v>2.5725</v>
      </c>
      <c r="I95" s="94"/>
      <c r="K95" s="68">
        <f>(F95*G95)/10</f>
        <v>9</v>
      </c>
      <c r="L95" s="69">
        <f>IF(ISERR(1/K95),0,(1/K95)*D95)</f>
        <v>0.1111111111111111</v>
      </c>
      <c r="M95" s="68">
        <f>0.1*H95</f>
        <v>0.25725</v>
      </c>
      <c r="N95" s="69"/>
      <c r="O95" s="68"/>
    </row>
    <row r="96" spans="1:13" ht="15">
      <c r="A96" s="2"/>
      <c r="B96" s="97" t="str">
        <f>Establish!B44</f>
        <v>Seed</v>
      </c>
      <c r="D96" s="91">
        <f>Establish!C44</f>
        <v>1</v>
      </c>
      <c r="F96" s="91">
        <f>Establish!D44</f>
        <v>15</v>
      </c>
      <c r="G96" s="91">
        <f>Establish!E44</f>
        <v>6</v>
      </c>
      <c r="H96" s="83">
        <f>(0.315*(Establish!F44*0.75))*L96*Input!$E$6</f>
        <v>2.5725</v>
      </c>
      <c r="I96" s="94"/>
      <c r="K96" s="68">
        <f>(F96*G96)/10</f>
        <v>9</v>
      </c>
      <c r="L96" s="69">
        <f>IF(ISERR(1/K96),0,(1/K96)*D96)</f>
        <v>0.1111111111111111</v>
      </c>
      <c r="M96" s="68">
        <f>0.1*H96</f>
        <v>0.25725</v>
      </c>
    </row>
    <row r="97" spans="1:13" ht="15">
      <c r="A97" s="2"/>
      <c r="B97" s="97" t="str">
        <f>Establish!B45</f>
        <v>Plow down</v>
      </c>
      <c r="D97" s="91">
        <f>Establish!C45</f>
        <v>1</v>
      </c>
      <c r="F97" s="91">
        <f>Establish!D45</f>
        <v>5</v>
      </c>
      <c r="G97" s="91">
        <f>Establish!E45</f>
        <v>5</v>
      </c>
      <c r="H97" s="83">
        <f>(0.315*(Establish!F45*0.75))*L97*Input!$E$6</f>
        <v>9.261000000000001</v>
      </c>
      <c r="I97" s="94"/>
      <c r="K97" s="68">
        <f>(F97*G97)/10</f>
        <v>2.5</v>
      </c>
      <c r="L97" s="69">
        <f>IF(ISERR(1/K97),0,(1/K97)*D97)</f>
        <v>0.4</v>
      </c>
      <c r="M97" s="68">
        <f>0.1*H97</f>
        <v>0.9261000000000001</v>
      </c>
    </row>
    <row r="98" spans="1:13" ht="15">
      <c r="A98" s="2"/>
      <c r="B98" s="97" t="str">
        <f>Establish!B46</f>
        <v>Cultivate</v>
      </c>
      <c r="D98" s="91">
        <f>Establish!C46</f>
        <v>1</v>
      </c>
      <c r="F98" s="91">
        <f>Establish!D46</f>
        <v>18</v>
      </c>
      <c r="G98" s="91">
        <f>Establish!E46</f>
        <v>5</v>
      </c>
      <c r="H98" s="83">
        <f>(0.315*(Establish!F46*0.75))*L98*Input!$E$6</f>
        <v>2.5725</v>
      </c>
      <c r="I98" s="94"/>
      <c r="K98" s="68">
        <f>(F98*G98)/10</f>
        <v>9</v>
      </c>
      <c r="L98" s="69">
        <f>IF(ISERR(1/K98),0,(1/K98)*D98)</f>
        <v>0.1111111111111111</v>
      </c>
      <c r="M98" s="68">
        <f>0.1*H98</f>
        <v>0.25725</v>
      </c>
    </row>
    <row r="99" spans="1:13" ht="15">
      <c r="A99" s="2"/>
      <c r="B99" s="97" t="str">
        <f>Establish!B47</f>
        <v>Fertilizer</v>
      </c>
      <c r="D99" s="91">
        <f>Establish!C47</f>
        <v>1</v>
      </c>
      <c r="F99" s="91">
        <f>Establish!D47</f>
        <v>40</v>
      </c>
      <c r="G99" s="91">
        <f>Establish!E47</f>
        <v>7</v>
      </c>
      <c r="H99" s="98">
        <f>(0.315*(Establish!F47*0.75))*L99*Input!$E$6</f>
        <v>0.826875</v>
      </c>
      <c r="I99" s="94"/>
      <c r="K99" s="68">
        <f>(F99*G99)/10</f>
        <v>28</v>
      </c>
      <c r="L99" s="69">
        <f>IF(ISERR(1/K99),0,(1/K99)*D99)</f>
        <v>0.03571428571428571</v>
      </c>
      <c r="M99" s="68">
        <f>0.1*H99</f>
        <v>0.08268750000000001</v>
      </c>
    </row>
    <row r="100" spans="1:13" ht="15.75">
      <c r="A100" s="2"/>
      <c r="B100" s="28" t="s">
        <v>70</v>
      </c>
      <c r="H100" s="84">
        <f>SUM(H95:H99)</f>
        <v>17.805375</v>
      </c>
      <c r="I100" s="94"/>
      <c r="K100" s="68">
        <f>SUM(K95:K99)</f>
        <v>57.5</v>
      </c>
      <c r="L100" s="69">
        <f>SUM(L95:L99)</f>
        <v>0.7690476190476191</v>
      </c>
      <c r="M100" s="68">
        <f>SUM(M95:M99)</f>
        <v>1.7805375</v>
      </c>
    </row>
    <row r="101" spans="1:13" ht="15">
      <c r="A101" s="2"/>
      <c r="K101" s="68"/>
      <c r="L101" s="69"/>
      <c r="M101" s="68"/>
    </row>
    <row r="102" spans="1:13" ht="15.75">
      <c r="A102" s="2"/>
      <c r="B102" s="25" t="s">
        <v>105</v>
      </c>
      <c r="K102" s="68"/>
      <c r="L102" s="69"/>
      <c r="M102" s="68"/>
    </row>
    <row r="103" spans="1:13" ht="15.75">
      <c r="A103" s="2"/>
      <c r="B103" s="25" t="s">
        <v>157</v>
      </c>
      <c r="K103" s="68"/>
      <c r="L103" s="69"/>
      <c r="M103" s="68"/>
    </row>
    <row r="104" spans="1:13" ht="15.75">
      <c r="A104" s="2"/>
      <c r="B104" s="2"/>
      <c r="C104" s="2"/>
      <c r="D104" s="58" t="s">
        <v>9</v>
      </c>
      <c r="E104" s="2"/>
      <c r="F104" s="58" t="s">
        <v>10</v>
      </c>
      <c r="G104" s="58" t="s">
        <v>11</v>
      </c>
      <c r="H104" s="58" t="s">
        <v>50</v>
      </c>
      <c r="I104" s="2"/>
      <c r="K104" s="68"/>
      <c r="L104" s="69"/>
      <c r="M104" s="68"/>
    </row>
    <row r="105" spans="1:13" ht="15.75">
      <c r="A105" s="2"/>
      <c r="B105" s="29" t="s">
        <v>13</v>
      </c>
      <c r="C105" s="2"/>
      <c r="D105" s="46" t="s">
        <v>14</v>
      </c>
      <c r="E105" s="2"/>
      <c r="F105" s="46" t="s">
        <v>48</v>
      </c>
      <c r="G105" s="46" t="s">
        <v>49</v>
      </c>
      <c r="H105" s="46" t="s">
        <v>51</v>
      </c>
      <c r="I105" s="2"/>
      <c r="K105" s="68"/>
      <c r="L105" s="69"/>
      <c r="M105" s="68"/>
    </row>
    <row r="106" spans="1:13" ht="15.75">
      <c r="A106" s="2"/>
      <c r="B106" s="29"/>
      <c r="C106" s="2"/>
      <c r="D106" s="46"/>
      <c r="E106" s="2"/>
      <c r="F106" s="46"/>
      <c r="G106" s="46"/>
      <c r="H106" s="46"/>
      <c r="I106" s="2"/>
      <c r="K106" s="68"/>
      <c r="L106" s="69"/>
      <c r="M106" s="68"/>
    </row>
    <row r="107" spans="1:13" ht="15">
      <c r="A107" s="2"/>
      <c r="B107" s="67" t="str">
        <f>Establish!B51</f>
        <v>Planting</v>
      </c>
      <c r="C107" s="2"/>
      <c r="D107" s="57">
        <f>Establish!C51</f>
        <v>1</v>
      </c>
      <c r="E107" s="2"/>
      <c r="F107" s="57">
        <f>Establish!D51</f>
        <v>5</v>
      </c>
      <c r="G107" s="57">
        <f>Establish!E51</f>
        <v>1</v>
      </c>
      <c r="H107" s="83">
        <f>(0.25*(Establish!F51*0.75))*L107*Input!$E$6</f>
        <v>11.025</v>
      </c>
      <c r="I107" s="59"/>
      <c r="K107" s="68">
        <f>(F107*G107)/10</f>
        <v>0.5</v>
      </c>
      <c r="L107" s="69">
        <f>IF(ISERR(1/K107),0,(1/K107)*D107)</f>
        <v>2</v>
      </c>
      <c r="M107" s="68">
        <f>0.1*H107</f>
        <v>1.1025</v>
      </c>
    </row>
    <row r="108" spans="1:13" ht="15">
      <c r="A108" s="2"/>
      <c r="B108" s="67" t="str">
        <f>Establish!B52</f>
        <v>Cultivate</v>
      </c>
      <c r="C108" s="2"/>
      <c r="D108" s="57">
        <f>Establish!C52</f>
        <v>3</v>
      </c>
      <c r="E108" s="2"/>
      <c r="F108" s="57">
        <f>Establish!D52</f>
        <v>5</v>
      </c>
      <c r="G108" s="57">
        <f>Establish!E52</f>
        <v>5</v>
      </c>
      <c r="H108" s="83">
        <f>(0.25*(Establish!F52*0.75))*L108*Input!$E$6</f>
        <v>6.615000000000001</v>
      </c>
      <c r="I108" s="59"/>
      <c r="K108" s="68">
        <f>(F108*G108)/10</f>
        <v>2.5</v>
      </c>
      <c r="L108" s="69">
        <f>IF(ISERR(1/K108),0,(1/K108)*D108)</f>
        <v>1.2000000000000002</v>
      </c>
      <c r="M108" s="68">
        <f>0.1*H108</f>
        <v>0.6615000000000002</v>
      </c>
    </row>
    <row r="109" spans="1:13" ht="15">
      <c r="A109" s="2"/>
      <c r="B109" s="67" t="str">
        <f>Establish!B53</f>
        <v>Spray</v>
      </c>
      <c r="C109" s="2"/>
      <c r="D109" s="57">
        <f>Establish!C53</f>
        <v>1</v>
      </c>
      <c r="E109" s="2"/>
      <c r="F109" s="57">
        <f>Establish!D53</f>
        <v>25</v>
      </c>
      <c r="G109" s="57">
        <f>Establish!E53</f>
        <v>4</v>
      </c>
      <c r="H109" s="83">
        <f>(0.25*(Establish!F53*0.75))*L109*Input!$E$6</f>
        <v>0.55125</v>
      </c>
      <c r="I109" s="60"/>
      <c r="K109" s="68">
        <f>(F109*G109)/10</f>
        <v>10</v>
      </c>
      <c r="L109" s="69">
        <f>IF(ISERR(1/K109),0,(1/K109)*D109)</f>
        <v>0.1</v>
      </c>
      <c r="M109" s="68">
        <f>0.1*H109</f>
        <v>0.05512500000000001</v>
      </c>
    </row>
    <row r="110" spans="1:13" ht="15">
      <c r="A110" s="2"/>
      <c r="B110" s="67" t="str">
        <f>Establish!B54</f>
        <v>Straw Spreading</v>
      </c>
      <c r="C110" s="2"/>
      <c r="D110" s="57">
        <f>Establish!C54</f>
        <v>1</v>
      </c>
      <c r="E110" s="2"/>
      <c r="F110" s="57">
        <f>Establish!D54</f>
        <v>5</v>
      </c>
      <c r="G110" s="57">
        <f>Establish!E54</f>
        <v>2</v>
      </c>
      <c r="H110" s="98">
        <f>(0.25*(Establish!F54*0.75))*L110*Input!$E$6</f>
        <v>18.375</v>
      </c>
      <c r="I110" s="60"/>
      <c r="K110" s="68">
        <f>(F110*G110)/10</f>
        <v>1</v>
      </c>
      <c r="L110" s="69">
        <f>IF(ISERR(1/K110),0,(1/K110)*D110)</f>
        <v>1</v>
      </c>
      <c r="M110" s="68">
        <f>0.1*H110</f>
        <v>1.8375000000000001</v>
      </c>
    </row>
    <row r="111" spans="2:13" ht="15.75">
      <c r="B111" s="28" t="s">
        <v>70</v>
      </c>
      <c r="C111" s="2"/>
      <c r="D111" s="2"/>
      <c r="E111" s="2"/>
      <c r="F111" s="2"/>
      <c r="G111" s="2"/>
      <c r="H111" s="66">
        <f>ROUND(SUM(H107:H110),2)</f>
        <v>36.57</v>
      </c>
      <c r="I111" s="60"/>
      <c r="K111" s="114">
        <f>SUM(K107:K110)</f>
        <v>14</v>
      </c>
      <c r="L111" s="113">
        <f>SUM(L107:L110)</f>
        <v>4.300000000000001</v>
      </c>
      <c r="M111" s="114">
        <f>SUM(M107:M110)</f>
        <v>3.6566250000000005</v>
      </c>
    </row>
    <row r="113" spans="2:9" ht="15.75">
      <c r="B113" s="2"/>
      <c r="C113" s="2"/>
      <c r="D113" s="30" t="s">
        <v>256</v>
      </c>
      <c r="E113" s="2"/>
      <c r="F113" s="39"/>
      <c r="G113" s="2"/>
      <c r="H113" s="84">
        <f>H100+H111</f>
        <v>54.375375000000005</v>
      </c>
      <c r="I113" s="94"/>
    </row>
    <row r="115" ht="15.75">
      <c r="B115" s="25" t="s">
        <v>140</v>
      </c>
    </row>
    <row r="116" spans="2:9" ht="15">
      <c r="B116" s="91" t="s">
        <v>118</v>
      </c>
      <c r="D116">
        <f>Establish!E58</f>
        <v>0</v>
      </c>
      <c r="F116" t="s">
        <v>192</v>
      </c>
      <c r="I116" s="94"/>
    </row>
    <row r="117" spans="3:9" ht="15">
      <c r="C117" s="91" t="s">
        <v>36</v>
      </c>
      <c r="D117">
        <f>Establish!E59</f>
        <v>4</v>
      </c>
      <c r="F117" t="s">
        <v>283</v>
      </c>
      <c r="I117" s="94"/>
    </row>
    <row r="118" spans="3:9" ht="15">
      <c r="C118" s="47" t="s">
        <v>36</v>
      </c>
      <c r="D118" s="64">
        <f>Establish!E60</f>
        <v>5</v>
      </c>
      <c r="E118" s="48"/>
      <c r="F118" s="48" t="s">
        <v>193</v>
      </c>
      <c r="I118" s="94"/>
    </row>
    <row r="119" spans="3:9" ht="15">
      <c r="C119" s="57" t="s">
        <v>37</v>
      </c>
      <c r="D119" s="39">
        <f>(D116*D117)*D118</f>
        <v>0</v>
      </c>
      <c r="E119" s="2"/>
      <c r="F119" s="2" t="s">
        <v>72</v>
      </c>
      <c r="I119" s="94"/>
    </row>
    <row r="121" spans="2:9" ht="15">
      <c r="B121" s="91" t="s">
        <v>194</v>
      </c>
      <c r="D121" s="102">
        <f>Establish!F58</f>
        <v>3</v>
      </c>
      <c r="F121" t="s">
        <v>192</v>
      </c>
      <c r="I121" s="94"/>
    </row>
    <row r="122" spans="3:9" ht="15">
      <c r="C122" s="91" t="s">
        <v>36</v>
      </c>
      <c r="D122">
        <f>Establish!F59</f>
        <v>4</v>
      </c>
      <c r="F122" t="s">
        <v>283</v>
      </c>
      <c r="I122" s="94"/>
    </row>
    <row r="123" spans="3:9" ht="15">
      <c r="C123" s="47" t="s">
        <v>36</v>
      </c>
      <c r="D123" s="31">
        <f>Establish!F60</f>
        <v>5</v>
      </c>
      <c r="F123" s="48" t="s">
        <v>193</v>
      </c>
      <c r="I123" s="94"/>
    </row>
    <row r="124" spans="3:9" ht="15">
      <c r="C124" s="57" t="s">
        <v>37</v>
      </c>
      <c r="D124" s="39">
        <f>(D121*D122)*D123</f>
        <v>60</v>
      </c>
      <c r="E124" s="2"/>
      <c r="F124" s="2" t="s">
        <v>72</v>
      </c>
      <c r="I124" s="94"/>
    </row>
    <row r="126" spans="2:9" ht="15.75">
      <c r="B126" s="91" t="s">
        <v>70</v>
      </c>
      <c r="C126" t="s">
        <v>37</v>
      </c>
      <c r="D126" s="61">
        <f>D119+D124</f>
        <v>60</v>
      </c>
      <c r="F126" s="25" t="s">
        <v>72</v>
      </c>
      <c r="I126" s="94"/>
    </row>
    <row r="128" ht="15.75">
      <c r="B128" s="25" t="s">
        <v>180</v>
      </c>
    </row>
    <row r="129" spans="2:9" ht="15">
      <c r="B129" t="s">
        <v>118</v>
      </c>
      <c r="D129" s="39">
        <f>Establish!E63</f>
        <v>0</v>
      </c>
      <c r="F129" t="s">
        <v>200</v>
      </c>
      <c r="I129" s="94"/>
    </row>
    <row r="130" spans="2:9" ht="15">
      <c r="B130" t="s">
        <v>194</v>
      </c>
      <c r="D130" s="39">
        <f>Establish!E64</f>
        <v>0</v>
      </c>
      <c r="F130" t="s">
        <v>200</v>
      </c>
      <c r="I130" s="94"/>
    </row>
    <row r="131" spans="3:9" ht="15">
      <c r="C131" s="47" t="s">
        <v>44</v>
      </c>
      <c r="D131" s="89">
        <f>Input!E2</f>
        <v>10</v>
      </c>
      <c r="E131" s="48"/>
      <c r="F131" s="48" t="s">
        <v>90</v>
      </c>
      <c r="I131" s="94"/>
    </row>
    <row r="132" spans="3:9" ht="15.75">
      <c r="C132" s="25" t="s">
        <v>37</v>
      </c>
      <c r="D132" s="61">
        <f>(D129+D130)/D131</f>
        <v>0</v>
      </c>
      <c r="E132" s="25"/>
      <c r="F132" s="25" t="s">
        <v>72</v>
      </c>
      <c r="I132" s="94"/>
    </row>
    <row r="134" ht="15.75">
      <c r="B134" s="25" t="s">
        <v>197</v>
      </c>
    </row>
    <row r="135" spans="2:9" ht="15.75">
      <c r="B135" s="25"/>
      <c r="D135" s="70">
        <f>Establish!E67</f>
        <v>0.015</v>
      </c>
      <c r="E135" s="2"/>
      <c r="F135" s="2" t="s">
        <v>54</v>
      </c>
      <c r="G135" s="2"/>
      <c r="H135" s="2"/>
      <c r="I135" s="59"/>
    </row>
    <row r="136" spans="2:9" ht="15.75">
      <c r="B136" s="25"/>
      <c r="C136" t="s">
        <v>36</v>
      </c>
      <c r="D136" s="71">
        <f>Input!F44/Input!E2</f>
        <v>16062.5</v>
      </c>
      <c r="E136" s="48"/>
      <c r="F136" s="48" t="s">
        <v>55</v>
      </c>
      <c r="G136" s="48"/>
      <c r="H136" s="48"/>
      <c r="I136" s="60"/>
    </row>
    <row r="137" spans="2:9" ht="15.75">
      <c r="B137" s="25"/>
      <c r="D137" s="34">
        <f>$D$135*$D$136</f>
        <v>240.9375</v>
      </c>
      <c r="E137" s="2"/>
      <c r="F137" s="25" t="s">
        <v>59</v>
      </c>
      <c r="G137" s="2"/>
      <c r="H137" s="2"/>
      <c r="I137" s="60"/>
    </row>
    <row r="138" ht="15.75">
      <c r="B138" s="25"/>
    </row>
    <row r="139" ht="15.75">
      <c r="B139" s="25" t="s">
        <v>247</v>
      </c>
    </row>
    <row r="140" spans="4:9" ht="15">
      <c r="D140" s="103">
        <f>Establish!E70</f>
        <v>200</v>
      </c>
      <c r="F140" t="s">
        <v>284</v>
      </c>
      <c r="I140" s="94"/>
    </row>
    <row r="141" spans="3:9" ht="15">
      <c r="C141" s="91" t="s">
        <v>40</v>
      </c>
      <c r="D141" s="103">
        <f>Establish!E71</f>
        <v>500</v>
      </c>
      <c r="F141" t="s">
        <v>285</v>
      </c>
      <c r="I141" s="94"/>
    </row>
    <row r="142" spans="3:9" ht="15">
      <c r="C142" s="47" t="s">
        <v>44</v>
      </c>
      <c r="D142" s="74">
        <f>Input!E2</f>
        <v>10</v>
      </c>
      <c r="E142" s="48"/>
      <c r="F142" s="48" t="s">
        <v>90</v>
      </c>
      <c r="I142" s="94"/>
    </row>
    <row r="143" spans="3:9" ht="15.75">
      <c r="C143" s="58" t="s">
        <v>37</v>
      </c>
      <c r="D143" s="34">
        <f>(D140+D141)/D142</f>
        <v>70</v>
      </c>
      <c r="E143" s="25"/>
      <c r="F143" s="25" t="s">
        <v>72</v>
      </c>
      <c r="I143" s="94"/>
    </row>
    <row r="144" spans="3:6" ht="15.75">
      <c r="C144" s="58"/>
      <c r="D144" s="34"/>
      <c r="E144" s="25"/>
      <c r="F144" s="25"/>
    </row>
    <row r="145" spans="2:9" ht="15.75">
      <c r="B145" s="97" t="s">
        <v>123</v>
      </c>
      <c r="C145" s="58"/>
      <c r="D145" s="111">
        <f>Establish!E72</f>
        <v>10</v>
      </c>
      <c r="E145" s="111"/>
      <c r="F145" s="111" t="s">
        <v>214</v>
      </c>
      <c r="I145" s="94"/>
    </row>
    <row r="146" spans="3:9" ht="15">
      <c r="C146" s="47" t="s">
        <v>36</v>
      </c>
      <c r="D146" s="31">
        <f>Establish!E73</f>
        <v>25</v>
      </c>
      <c r="E146" s="48"/>
      <c r="F146" s="48" t="s">
        <v>215</v>
      </c>
      <c r="I146" s="94"/>
    </row>
    <row r="147" spans="3:9" ht="15.75">
      <c r="C147" s="58" t="s">
        <v>37</v>
      </c>
      <c r="D147" s="34">
        <f>D145*D146</f>
        <v>250</v>
      </c>
      <c r="E147" s="25"/>
      <c r="F147" s="25" t="s">
        <v>72</v>
      </c>
      <c r="I147" s="94"/>
    </row>
    <row r="149" ht="15.75">
      <c r="B149" s="25" t="s">
        <v>248</v>
      </c>
    </row>
    <row r="150" spans="4:9" ht="15">
      <c r="D150" s="30">
        <f>Input!E5</f>
        <v>6</v>
      </c>
      <c r="E150" s="2"/>
      <c r="F150" t="s">
        <v>284</v>
      </c>
      <c r="I150" s="94"/>
    </row>
    <row r="151" spans="3:9" ht="15">
      <c r="C151" s="47" t="s">
        <v>40</v>
      </c>
      <c r="D151" s="64">
        <f>Input!E5</f>
        <v>6</v>
      </c>
      <c r="E151" s="48"/>
      <c r="F151" s="48" t="s">
        <v>285</v>
      </c>
      <c r="I151" s="94"/>
    </row>
    <row r="152" spans="3:9" ht="17.25" customHeight="1">
      <c r="C152" s="58" t="s">
        <v>37</v>
      </c>
      <c r="D152" s="61">
        <f>D150+D151</f>
        <v>12</v>
      </c>
      <c r="E152" s="25"/>
      <c r="F152" s="25" t="s">
        <v>59</v>
      </c>
      <c r="I152" s="94"/>
    </row>
    <row r="153" spans="4:6" ht="15.75">
      <c r="D153" s="101"/>
      <c r="F153" s="25"/>
    </row>
    <row r="154" ht="15.75">
      <c r="B154" s="25" t="s">
        <v>249</v>
      </c>
    </row>
    <row r="155" spans="2:9" ht="15">
      <c r="B155" s="2"/>
      <c r="C155" s="2"/>
      <c r="D155" s="30">
        <f>' Summary'!F18</f>
        <v>2064.26</v>
      </c>
      <c r="E155" s="2"/>
      <c r="F155" s="2" t="s">
        <v>286</v>
      </c>
      <c r="G155" s="2"/>
      <c r="H155" s="2"/>
      <c r="I155" s="59"/>
    </row>
    <row r="156" spans="2:9" ht="15">
      <c r="B156" s="2"/>
      <c r="C156" s="57" t="s">
        <v>44</v>
      </c>
      <c r="D156" s="2">
        <v>2</v>
      </c>
      <c r="E156" s="2"/>
      <c r="F156" s="2" t="s">
        <v>60</v>
      </c>
      <c r="G156" s="2"/>
      <c r="H156" s="2"/>
      <c r="I156" s="59"/>
    </row>
    <row r="157" spans="2:9" ht="15.75">
      <c r="B157" s="25"/>
      <c r="C157" s="47" t="s">
        <v>36</v>
      </c>
      <c r="D157" s="75">
        <f>Input!E7</f>
        <v>0.055</v>
      </c>
      <c r="E157" s="2"/>
      <c r="F157" s="48" t="s">
        <v>61</v>
      </c>
      <c r="G157" s="2"/>
      <c r="H157" s="2"/>
      <c r="I157" s="59"/>
    </row>
    <row r="158" spans="2:9" ht="15.75">
      <c r="B158" s="25"/>
      <c r="C158" s="66" t="s">
        <v>37</v>
      </c>
      <c r="D158" s="34">
        <f>(D155/D156)*D157</f>
        <v>56.76715000000001</v>
      </c>
      <c r="E158" s="2"/>
      <c r="F158" s="25" t="s">
        <v>59</v>
      </c>
      <c r="G158" s="2"/>
      <c r="H158" s="2"/>
      <c r="I158" s="59"/>
    </row>
    <row r="160" spans="1:9" ht="15.75">
      <c r="A160" s="2"/>
      <c r="B160" s="2"/>
      <c r="C160" s="2"/>
      <c r="D160" s="73" t="s">
        <v>71</v>
      </c>
      <c r="E160" s="48"/>
      <c r="F160" s="48"/>
      <c r="G160" s="2"/>
      <c r="H160" s="2"/>
      <c r="I160" s="2"/>
    </row>
    <row r="161" spans="1:9" ht="15.75">
      <c r="A161" s="2"/>
      <c r="B161" s="25" t="s">
        <v>58</v>
      </c>
      <c r="C161" s="2"/>
      <c r="D161" s="58" t="s">
        <v>89</v>
      </c>
      <c r="E161" s="57"/>
      <c r="F161" s="57"/>
      <c r="G161" s="2"/>
      <c r="H161" s="25"/>
      <c r="I161" s="2"/>
    </row>
    <row r="162" spans="1:9" ht="15">
      <c r="A162" s="2"/>
      <c r="B162" s="2"/>
      <c r="C162" s="2"/>
      <c r="D162" s="2"/>
      <c r="E162" s="2"/>
      <c r="F162" s="2"/>
      <c r="G162" s="2"/>
      <c r="H162" s="2"/>
      <c r="I162" s="2"/>
    </row>
    <row r="163" spans="1:2" ht="15.75">
      <c r="A163" s="2"/>
      <c r="B163" s="25" t="s">
        <v>30</v>
      </c>
    </row>
    <row r="164" spans="1:9" ht="15">
      <c r="A164" s="2"/>
      <c r="B164" s="2"/>
      <c r="C164" s="2"/>
      <c r="D164" s="39">
        <f>Input!E45</f>
        <v>7872.5</v>
      </c>
      <c r="E164" s="2"/>
      <c r="F164" s="2" t="s">
        <v>62</v>
      </c>
      <c r="G164" s="2"/>
      <c r="H164" s="2"/>
      <c r="I164" s="59"/>
    </row>
    <row r="165" spans="1:9" ht="15">
      <c r="A165" s="2"/>
      <c r="B165" s="2"/>
      <c r="C165" s="57" t="s">
        <v>46</v>
      </c>
      <c r="D165" s="39">
        <f>Input!H43*Input!E45</f>
        <v>1102.1499999999999</v>
      </c>
      <c r="E165" s="2"/>
      <c r="F165" s="2" t="s">
        <v>63</v>
      </c>
      <c r="G165" s="48"/>
      <c r="H165" s="2"/>
      <c r="I165" s="60"/>
    </row>
    <row r="166" spans="1:9" ht="15">
      <c r="A166" s="2"/>
      <c r="B166" s="2"/>
      <c r="C166" s="57" t="s">
        <v>36</v>
      </c>
      <c r="D166" s="62">
        <v>2</v>
      </c>
      <c r="E166" s="2"/>
      <c r="F166" s="2" t="s">
        <v>203</v>
      </c>
      <c r="G166" s="48"/>
      <c r="H166" s="2"/>
      <c r="I166" s="60"/>
    </row>
    <row r="167" spans="1:9" ht="15">
      <c r="A167" s="2"/>
      <c r="B167" s="2"/>
      <c r="C167" s="47" t="s">
        <v>44</v>
      </c>
      <c r="D167" s="74">
        <f>Input!G36</f>
        <v>10</v>
      </c>
      <c r="E167" s="48"/>
      <c r="F167" s="48" t="s">
        <v>64</v>
      </c>
      <c r="G167" s="2"/>
      <c r="H167" s="2"/>
      <c r="I167" s="60"/>
    </row>
    <row r="168" spans="1:9" ht="15.75">
      <c r="A168" s="2"/>
      <c r="B168" s="2"/>
      <c r="C168" s="66" t="s">
        <v>37</v>
      </c>
      <c r="D168" s="34">
        <f>ROUND((D164-D165)*D166/D167,2)</f>
        <v>1354.07</v>
      </c>
      <c r="E168" s="2"/>
      <c r="F168" s="25" t="s">
        <v>59</v>
      </c>
      <c r="G168" s="2"/>
      <c r="H168" s="2"/>
      <c r="I168" s="60"/>
    </row>
    <row r="169" spans="1:9" ht="15.75">
      <c r="A169" s="2"/>
      <c r="B169" s="2"/>
      <c r="C169" s="66"/>
      <c r="D169" s="34"/>
      <c r="E169" s="2"/>
      <c r="F169" s="25"/>
      <c r="G169" s="2"/>
      <c r="H169" s="2"/>
      <c r="I169" s="59"/>
    </row>
    <row r="170" spans="1:2" ht="15.75">
      <c r="A170" s="2"/>
      <c r="B170" s="25" t="s">
        <v>289</v>
      </c>
    </row>
    <row r="171" spans="1:9" ht="15">
      <c r="A171" s="2"/>
      <c r="B171" s="2"/>
      <c r="C171" s="57"/>
      <c r="D171" s="39">
        <f>Input!E46</f>
        <v>5550</v>
      </c>
      <c r="E171" s="2"/>
      <c r="F171" s="2" t="s">
        <v>62</v>
      </c>
      <c r="G171" s="2"/>
      <c r="H171" s="2"/>
      <c r="I171" s="59"/>
    </row>
    <row r="172" spans="1:9" ht="15">
      <c r="A172" s="2"/>
      <c r="B172" s="2"/>
      <c r="C172" s="57" t="s">
        <v>46</v>
      </c>
      <c r="D172" s="39">
        <f>Input!H43*Input!E46</f>
        <v>776.9999999999999</v>
      </c>
      <c r="E172" s="2"/>
      <c r="F172" s="2" t="s">
        <v>63</v>
      </c>
      <c r="G172" s="2"/>
      <c r="H172" s="2"/>
      <c r="I172" s="60"/>
    </row>
    <row r="173" spans="1:9" ht="15">
      <c r="A173" s="2"/>
      <c r="B173" s="2"/>
      <c r="C173" s="57" t="s">
        <v>36</v>
      </c>
      <c r="D173" s="62">
        <v>2</v>
      </c>
      <c r="E173" s="2"/>
      <c r="F173" s="2" t="s">
        <v>203</v>
      </c>
      <c r="G173" s="2"/>
      <c r="H173" s="2"/>
      <c r="I173" s="60"/>
    </row>
    <row r="174" spans="1:9" ht="15">
      <c r="A174" s="2"/>
      <c r="B174" s="2"/>
      <c r="C174" s="47" t="s">
        <v>44</v>
      </c>
      <c r="D174" s="74">
        <f>Input!G43</f>
        <v>16</v>
      </c>
      <c r="E174" s="2"/>
      <c r="F174" s="48" t="s">
        <v>64</v>
      </c>
      <c r="G174" s="2"/>
      <c r="H174" s="2"/>
      <c r="I174" s="60"/>
    </row>
    <row r="175" spans="1:9" ht="15.75">
      <c r="A175" s="2"/>
      <c r="B175" s="2"/>
      <c r="C175" s="66" t="s">
        <v>37</v>
      </c>
      <c r="D175" s="34">
        <f>(+D171-D172)*D173/D174</f>
        <v>596.625</v>
      </c>
      <c r="E175" s="2"/>
      <c r="F175" s="25" t="s">
        <v>59</v>
      </c>
      <c r="G175" s="2"/>
      <c r="H175" s="2"/>
      <c r="I175" s="60"/>
    </row>
    <row r="176" spans="1:9" ht="15.75">
      <c r="A176" s="2"/>
      <c r="B176" s="2"/>
      <c r="C176" s="66"/>
      <c r="D176" s="34"/>
      <c r="E176" s="2"/>
      <c r="F176" s="25"/>
      <c r="G176" s="2"/>
      <c r="H176" s="2"/>
      <c r="I176" s="54"/>
    </row>
    <row r="177" spans="1:9" ht="15.75">
      <c r="A177" s="2"/>
      <c r="B177" s="25" t="s">
        <v>57</v>
      </c>
      <c r="C177" s="57"/>
      <c r="D177" s="73" t="s">
        <v>88</v>
      </c>
      <c r="E177" s="2"/>
      <c r="F177" s="2"/>
      <c r="G177" s="2"/>
      <c r="H177" s="2"/>
      <c r="I177" s="54"/>
    </row>
    <row r="178" spans="1:9" ht="15.75">
      <c r="A178" s="2"/>
      <c r="C178" s="57"/>
      <c r="D178" s="2"/>
      <c r="E178" s="58">
        <v>2</v>
      </c>
      <c r="F178" s="2"/>
      <c r="G178" s="2"/>
      <c r="H178" s="2"/>
      <c r="I178" s="54"/>
    </row>
    <row r="179" spans="1:9" ht="15">
      <c r="A179" s="2"/>
      <c r="B179" s="2"/>
      <c r="C179" s="57"/>
      <c r="D179" s="2"/>
      <c r="E179" s="2"/>
      <c r="F179" s="2"/>
      <c r="G179" s="2"/>
      <c r="H179" s="2"/>
      <c r="I179" s="54"/>
    </row>
    <row r="180" spans="1:2" ht="15.75">
      <c r="A180" s="2"/>
      <c r="B180" s="25" t="s">
        <v>32</v>
      </c>
    </row>
    <row r="181" spans="1:9" ht="15.75">
      <c r="A181" s="2"/>
      <c r="B181" s="25"/>
      <c r="C181" s="57"/>
      <c r="D181" s="39">
        <f>Input!E4</f>
        <v>2400</v>
      </c>
      <c r="E181" s="2"/>
      <c r="F181" s="2" t="s">
        <v>62</v>
      </c>
      <c r="G181" s="2"/>
      <c r="H181" s="2"/>
      <c r="I181" s="59"/>
    </row>
    <row r="182" spans="1:9" ht="15">
      <c r="A182" s="2"/>
      <c r="B182" s="2"/>
      <c r="C182" s="57" t="s">
        <v>36</v>
      </c>
      <c r="D182" s="62">
        <v>2</v>
      </c>
      <c r="E182" s="2"/>
      <c r="F182" s="2" t="s">
        <v>203</v>
      </c>
      <c r="G182" s="2"/>
      <c r="H182" s="2"/>
      <c r="I182" s="59"/>
    </row>
    <row r="183" spans="1:9" ht="15">
      <c r="A183" s="2"/>
      <c r="B183" s="2"/>
      <c r="C183" s="47" t="s">
        <v>36</v>
      </c>
      <c r="D183" s="75">
        <f>Input!E8</f>
        <v>0.025</v>
      </c>
      <c r="E183" s="48"/>
      <c r="F183" s="48" t="s">
        <v>65</v>
      </c>
      <c r="G183" s="2"/>
      <c r="H183" s="2"/>
      <c r="I183" s="59"/>
    </row>
    <row r="184" spans="1:9" ht="15.75">
      <c r="A184" s="2"/>
      <c r="B184" s="2"/>
      <c r="C184" s="72" t="s">
        <v>37</v>
      </c>
      <c r="D184" s="34">
        <f>(D181*D182)*D183</f>
        <v>120</v>
      </c>
      <c r="E184" s="2"/>
      <c r="F184" s="25" t="s">
        <v>59</v>
      </c>
      <c r="G184" s="2"/>
      <c r="H184" s="2"/>
      <c r="I184" s="59"/>
    </row>
    <row r="185" spans="1:9" ht="15.75">
      <c r="A185" s="2"/>
      <c r="B185" s="2"/>
      <c r="C185" s="72"/>
      <c r="D185" s="34"/>
      <c r="E185" s="2"/>
      <c r="F185" s="25"/>
      <c r="G185" s="2"/>
      <c r="H185" s="2"/>
      <c r="I185" s="59"/>
    </row>
    <row r="186" spans="1:2" ht="15.75">
      <c r="A186" s="2"/>
      <c r="B186" s="25" t="s">
        <v>33</v>
      </c>
    </row>
    <row r="187" spans="1:9" ht="15">
      <c r="A187" s="2"/>
      <c r="B187" s="2"/>
      <c r="C187" s="2"/>
      <c r="D187" s="39">
        <f>Input!E45</f>
        <v>7872.5</v>
      </c>
      <c r="E187" s="2"/>
      <c r="F187" s="2" t="s">
        <v>62</v>
      </c>
      <c r="G187" s="2"/>
      <c r="H187" s="2"/>
      <c r="I187" s="59"/>
    </row>
    <row r="188" spans="1:9" ht="15">
      <c r="A188" s="2"/>
      <c r="B188" s="2"/>
      <c r="C188" s="57" t="s">
        <v>40</v>
      </c>
      <c r="D188" s="39">
        <f>Input!H36*Input!E45</f>
        <v>1180.875</v>
      </c>
      <c r="E188" s="2"/>
      <c r="F188" s="2" t="s">
        <v>63</v>
      </c>
      <c r="G188" s="2"/>
      <c r="H188" s="2"/>
      <c r="I188" s="59"/>
    </row>
    <row r="189" spans="1:9" ht="15">
      <c r="A189" s="2"/>
      <c r="B189" s="2"/>
      <c r="C189" s="57" t="s">
        <v>44</v>
      </c>
      <c r="D189" s="62">
        <v>2</v>
      </c>
      <c r="E189" s="2"/>
      <c r="F189" s="2" t="s">
        <v>60</v>
      </c>
      <c r="G189" s="2"/>
      <c r="H189" s="2"/>
      <c r="I189" s="59"/>
    </row>
    <row r="190" spans="1:9" ht="15">
      <c r="A190" s="2"/>
      <c r="B190" s="2"/>
      <c r="C190" s="57" t="s">
        <v>36</v>
      </c>
      <c r="D190" s="62">
        <v>2</v>
      </c>
      <c r="E190" s="2"/>
      <c r="F190" s="2" t="s">
        <v>203</v>
      </c>
      <c r="G190" s="2"/>
      <c r="H190" s="2"/>
      <c r="I190" s="59"/>
    </row>
    <row r="191" spans="1:9" ht="15">
      <c r="A191" s="2"/>
      <c r="B191" s="2"/>
      <c r="C191" s="47" t="s">
        <v>36</v>
      </c>
      <c r="D191" s="75">
        <f>Input!E8</f>
        <v>0.025</v>
      </c>
      <c r="E191" s="48"/>
      <c r="F191" s="48" t="s">
        <v>65</v>
      </c>
      <c r="G191" s="2"/>
      <c r="H191" s="2"/>
      <c r="I191" s="59"/>
    </row>
    <row r="192" spans="1:9" ht="15.75">
      <c r="A192" s="2"/>
      <c r="B192" s="2"/>
      <c r="C192" s="66" t="s">
        <v>37</v>
      </c>
      <c r="D192" s="34">
        <f>ROUND(((+D187+D188)/D189)*D190*D191,2)</f>
        <v>226.33</v>
      </c>
      <c r="E192" s="2"/>
      <c r="F192" s="25" t="s">
        <v>59</v>
      </c>
      <c r="G192" s="54"/>
      <c r="H192" s="54"/>
      <c r="I192" s="59"/>
    </row>
    <row r="193" spans="1:9" ht="15.75">
      <c r="A193" s="2"/>
      <c r="B193" s="2"/>
      <c r="C193" s="66"/>
      <c r="D193" s="34"/>
      <c r="E193" s="2"/>
      <c r="F193" s="25"/>
      <c r="G193" s="54"/>
      <c r="H193" s="54"/>
      <c r="I193" s="59"/>
    </row>
    <row r="194" spans="1:2" ht="15.75">
      <c r="A194" s="2"/>
      <c r="B194" s="25" t="s">
        <v>288</v>
      </c>
    </row>
    <row r="195" spans="1:9" ht="15">
      <c r="A195" s="2"/>
      <c r="B195" s="2"/>
      <c r="C195" s="57"/>
      <c r="D195" s="39">
        <f>Input!E46</f>
        <v>5550</v>
      </c>
      <c r="E195" s="2"/>
      <c r="F195" s="2" t="s">
        <v>62</v>
      </c>
      <c r="G195" s="2"/>
      <c r="H195" s="2"/>
      <c r="I195" s="59"/>
    </row>
    <row r="196" spans="1:9" ht="15">
      <c r="A196" s="2"/>
      <c r="B196" s="2"/>
      <c r="C196" s="57" t="s">
        <v>40</v>
      </c>
      <c r="D196" s="39">
        <f>Input!E46*Input!H43</f>
        <v>776.9999999999999</v>
      </c>
      <c r="E196" s="2"/>
      <c r="F196" s="2" t="s">
        <v>63</v>
      </c>
      <c r="G196" s="2"/>
      <c r="H196" s="2"/>
      <c r="I196" s="59"/>
    </row>
    <row r="197" spans="1:9" ht="15">
      <c r="A197" s="2"/>
      <c r="B197" s="2"/>
      <c r="C197" s="57" t="s">
        <v>44</v>
      </c>
      <c r="D197" s="62">
        <v>2</v>
      </c>
      <c r="E197" s="2"/>
      <c r="F197" s="2" t="s">
        <v>60</v>
      </c>
      <c r="G197" s="2"/>
      <c r="H197" s="2"/>
      <c r="I197" s="59"/>
    </row>
    <row r="198" spans="1:9" ht="15">
      <c r="A198" s="2"/>
      <c r="B198" s="2"/>
      <c r="C198" s="57" t="s">
        <v>36</v>
      </c>
      <c r="D198" s="62">
        <v>2</v>
      </c>
      <c r="E198" s="2"/>
      <c r="F198" s="2" t="s">
        <v>203</v>
      </c>
      <c r="G198" s="2"/>
      <c r="H198" s="2"/>
      <c r="I198" s="59"/>
    </row>
    <row r="199" spans="1:9" ht="15">
      <c r="A199" s="2"/>
      <c r="B199" s="2"/>
      <c r="C199" s="47" t="s">
        <v>36</v>
      </c>
      <c r="D199" s="75">
        <f>Input!E8</f>
        <v>0.025</v>
      </c>
      <c r="E199" s="48"/>
      <c r="F199" s="48" t="s">
        <v>65</v>
      </c>
      <c r="G199" s="2"/>
      <c r="H199" s="2"/>
      <c r="I199" s="59"/>
    </row>
    <row r="200" spans="3:9" ht="15.75">
      <c r="C200" s="66" t="s">
        <v>37</v>
      </c>
      <c r="D200" s="34">
        <f>((+D195+D196)/D197)*D198*D199</f>
        <v>158.175</v>
      </c>
      <c r="E200" s="2"/>
      <c r="F200" s="25" t="s">
        <v>59</v>
      </c>
      <c r="G200" s="2"/>
      <c r="H200" s="2"/>
      <c r="I200" s="59"/>
    </row>
    <row r="201" spans="3:9" ht="15.75">
      <c r="C201" s="66"/>
      <c r="D201" s="34"/>
      <c r="E201" s="2"/>
      <c r="F201" s="25"/>
      <c r="G201" s="2"/>
      <c r="H201" s="2"/>
      <c r="I201" s="59"/>
    </row>
    <row r="202" ht="15.75">
      <c r="B202" s="25" t="s">
        <v>106</v>
      </c>
    </row>
    <row r="203" spans="3:9" ht="15">
      <c r="C203" s="57"/>
      <c r="D203" s="121">
        <f>Establish!E76</f>
        <v>30</v>
      </c>
      <c r="E203" s="2"/>
      <c r="F203" s="2" t="s">
        <v>258</v>
      </c>
      <c r="G203" s="2"/>
      <c r="I203" s="94"/>
    </row>
    <row r="204" spans="3:9" ht="15">
      <c r="C204" s="57" t="s">
        <v>40</v>
      </c>
      <c r="D204" s="122">
        <f>Establish!E77</f>
        <v>8</v>
      </c>
      <c r="F204" s="2" t="s">
        <v>259</v>
      </c>
      <c r="H204" s="2"/>
      <c r="I204" s="59"/>
    </row>
    <row r="205" spans="3:9" ht="15">
      <c r="C205" s="57" t="s">
        <v>40</v>
      </c>
      <c r="D205" s="122">
        <f>Establish!E78</f>
        <v>6</v>
      </c>
      <c r="F205" s="2" t="s">
        <v>260</v>
      </c>
      <c r="H205" s="2"/>
      <c r="I205" s="59"/>
    </row>
    <row r="206" spans="3:9" ht="15">
      <c r="C206" s="57" t="s">
        <v>40</v>
      </c>
      <c r="D206" s="122">
        <f>Establish!E78</f>
        <v>6</v>
      </c>
      <c r="F206" s="2" t="s">
        <v>261</v>
      </c>
      <c r="H206" s="2"/>
      <c r="I206" s="59"/>
    </row>
    <row r="207" spans="3:9" ht="15">
      <c r="C207" s="57" t="s">
        <v>40</v>
      </c>
      <c r="D207" s="122">
        <f>Establish!E80</f>
        <v>4.300000000000001</v>
      </c>
      <c r="F207" t="s">
        <v>262</v>
      </c>
      <c r="H207" s="2"/>
      <c r="I207" s="59"/>
    </row>
    <row r="208" spans="3:9" ht="15">
      <c r="C208" s="47" t="s">
        <v>36</v>
      </c>
      <c r="D208" s="64">
        <f>Establish!D75</f>
        <v>17.5</v>
      </c>
      <c r="E208" s="48"/>
      <c r="F208" s="48" t="s">
        <v>56</v>
      </c>
      <c r="G208" s="2"/>
      <c r="H208" s="2"/>
      <c r="I208" s="59"/>
    </row>
    <row r="209" spans="3:7" ht="15.75">
      <c r="C209" s="58" t="s">
        <v>37</v>
      </c>
      <c r="D209" s="61">
        <f>(D203+D204+D205+D206+D207)*D208</f>
        <v>950.25</v>
      </c>
      <c r="E209" s="2"/>
      <c r="F209" s="25" t="s">
        <v>59</v>
      </c>
      <c r="G209" s="2"/>
    </row>
  </sheetData>
  <sheetProtection password="C6A6" sheet="1" objects="1" scenarios="1"/>
  <mergeCells count="2">
    <mergeCell ref="A2:I2"/>
    <mergeCell ref="B3:H3"/>
  </mergeCells>
  <printOptions horizontalCentered="1"/>
  <pageMargins left="0.7480314960629921" right="0.7480314960629921" top="0.984251968503937" bottom="0.984251968503937" header="0.5118110236220472" footer="0.5118110236220472"/>
  <pageSetup firstPageNumber="9" useFirstPageNumber="1" horizontalDpi="600" verticalDpi="600" orientation="portrait" scale="95" r:id="rId1"/>
  <headerFooter alignWithMargins="0">
    <oddHeader>&amp;L&amp;9Guidelines: Strawberry U-Pick Costs&amp;R&amp;P</oddHeader>
    <oddFooter>&amp;R&amp;"Arial,Italic"&amp;9MAFRI, GO Team Branch and Crops Knowledge Centre</oddFooter>
  </headerFooter>
  <rowBreaks count="4" manualBreakCount="4">
    <brk id="82" max="8" man="1"/>
    <brk id="120" max="8" man="1"/>
    <brk id="158" max="8" man="1"/>
    <brk id="193" max="8" man="1"/>
  </rowBreaks>
</worksheet>
</file>

<file path=xl/worksheets/sheet6.xml><?xml version="1.0" encoding="utf-8"?>
<worksheet xmlns="http://schemas.openxmlformats.org/spreadsheetml/2006/main" xmlns:r="http://schemas.openxmlformats.org/officeDocument/2006/relationships">
  <sheetPr codeName="Sheet1"/>
  <dimension ref="A2:G74"/>
  <sheetViews>
    <sheetView showGridLines="0" zoomScalePageLayoutView="0" workbookViewId="0" topLeftCell="A1">
      <selection activeCell="A1" sqref="A1"/>
    </sheetView>
  </sheetViews>
  <sheetFormatPr defaultColWidth="9.77734375" defaultRowHeight="15"/>
  <cols>
    <col min="1" max="1" width="2.88671875" style="6" customWidth="1"/>
    <col min="2" max="2" width="18.10546875" style="6" customWidth="1"/>
    <col min="3" max="3" width="10.6640625" style="6" customWidth="1"/>
    <col min="4" max="4" width="9.77734375" style="6" customWidth="1"/>
    <col min="5" max="5" width="11.4453125" style="6" customWidth="1"/>
    <col min="6" max="6" width="9.77734375" style="6" customWidth="1"/>
    <col min="7" max="7" width="11.10546875" style="6" customWidth="1"/>
    <col min="8" max="16384" width="9.77734375" style="6" customWidth="1"/>
  </cols>
  <sheetData>
    <row r="1" ht="15"/>
    <row r="2" spans="2:7" ht="18">
      <c r="B2" s="207" t="s">
        <v>268</v>
      </c>
      <c r="C2" s="207"/>
      <c r="D2" s="207"/>
      <c r="E2" s="207"/>
      <c r="F2" s="207"/>
      <c r="G2" s="207"/>
    </row>
    <row r="3" ht="15"/>
    <row r="4" ht="15.75">
      <c r="A4" s="7" t="s">
        <v>35</v>
      </c>
    </row>
    <row r="5" ht="15.75">
      <c r="A5" s="7"/>
    </row>
    <row r="6" spans="1:2" ht="15.75">
      <c r="A6" s="7"/>
      <c r="B6" s="8" t="s">
        <v>206</v>
      </c>
    </row>
    <row r="7" ht="15.75">
      <c r="A7" s="7"/>
    </row>
    <row r="8" ht="15.75">
      <c r="B8" s="8" t="s">
        <v>2</v>
      </c>
    </row>
    <row r="9" spans="4:6" ht="15.75">
      <c r="D9" s="11" t="s">
        <v>85</v>
      </c>
      <c r="E9" s="11" t="s">
        <v>1</v>
      </c>
      <c r="F9" s="33"/>
    </row>
    <row r="10" spans="2:6" ht="15.75">
      <c r="B10" s="6" t="s">
        <v>4</v>
      </c>
      <c r="D10" s="142">
        <v>0.64</v>
      </c>
      <c r="E10" s="5">
        <v>150</v>
      </c>
      <c r="F10" s="26"/>
    </row>
    <row r="11" spans="2:6" ht="15.75">
      <c r="B11" s="6" t="s">
        <v>5</v>
      </c>
      <c r="D11" s="142">
        <v>0.53</v>
      </c>
      <c r="E11" s="5">
        <v>20</v>
      </c>
      <c r="F11" s="26"/>
    </row>
    <row r="12" spans="2:6" ht="15.75">
      <c r="B12" s="6" t="s">
        <v>6</v>
      </c>
      <c r="D12" s="141">
        <v>0.49</v>
      </c>
      <c r="E12" s="5">
        <v>30</v>
      </c>
      <c r="F12" s="26"/>
    </row>
    <row r="13" spans="2:6" ht="15.75">
      <c r="B13" s="6" t="s">
        <v>7</v>
      </c>
      <c r="D13" s="141">
        <v>0.43</v>
      </c>
      <c r="E13" s="5">
        <v>5</v>
      </c>
      <c r="F13" s="26"/>
    </row>
    <row r="14" spans="2:6" ht="15.75">
      <c r="B14" s="6" t="s">
        <v>8</v>
      </c>
      <c r="D14" s="141">
        <v>1.5</v>
      </c>
      <c r="E14" s="5">
        <v>3</v>
      </c>
      <c r="F14" s="26"/>
    </row>
    <row r="15" ht="15"/>
    <row r="16" spans="2:5" ht="15.75">
      <c r="B16" s="15" t="s">
        <v>92</v>
      </c>
      <c r="D16" s="142">
        <v>1.75</v>
      </c>
      <c r="E16" s="7" t="s">
        <v>91</v>
      </c>
    </row>
    <row r="17" spans="2:5" ht="15.75">
      <c r="B17" s="7"/>
      <c r="D17" s="27"/>
      <c r="E17" s="7"/>
    </row>
    <row r="18" spans="2:6" ht="15.75">
      <c r="B18" s="8" t="s">
        <v>74</v>
      </c>
      <c r="E18" s="32"/>
      <c r="F18" s="32"/>
    </row>
    <row r="19" spans="3:6" ht="15.75">
      <c r="C19" s="9" t="s">
        <v>207</v>
      </c>
      <c r="D19" s="141">
        <v>30</v>
      </c>
      <c r="E19" s="164"/>
      <c r="F19" s="123"/>
    </row>
    <row r="20" spans="3:6" ht="15.75">
      <c r="C20" s="152" t="s">
        <v>298</v>
      </c>
      <c r="D20" s="141">
        <v>10</v>
      </c>
      <c r="E20" s="165"/>
      <c r="F20" s="123"/>
    </row>
    <row r="21" spans="3:6" ht="15.75">
      <c r="C21" s="9"/>
      <c r="E21" s="123"/>
      <c r="F21" s="123"/>
    </row>
    <row r="22" ht="15.75">
      <c r="B22" s="7" t="s">
        <v>177</v>
      </c>
    </row>
    <row r="23" spans="2:4" ht="15.75">
      <c r="B23" s="7"/>
      <c r="C23" s="6" t="s">
        <v>290</v>
      </c>
      <c r="D23" s="142">
        <v>24</v>
      </c>
    </row>
    <row r="24" spans="2:4" ht="15.75">
      <c r="B24" s="7"/>
      <c r="C24" s="6" t="s">
        <v>230</v>
      </c>
      <c r="D24" s="142">
        <v>12</v>
      </c>
    </row>
    <row r="25" spans="2:4" ht="15.75">
      <c r="B25" s="7"/>
      <c r="C25" s="6" t="s">
        <v>168</v>
      </c>
      <c r="D25" s="142">
        <v>0</v>
      </c>
    </row>
    <row r="26" spans="2:4" ht="15.75">
      <c r="B26" s="7"/>
      <c r="D26" s="27"/>
    </row>
    <row r="27" spans="2:4" ht="15.75">
      <c r="B27" s="7" t="s">
        <v>208</v>
      </c>
      <c r="D27" s="27"/>
    </row>
    <row r="28" spans="3:6" ht="15.75">
      <c r="C28" s="6" t="s">
        <v>169</v>
      </c>
      <c r="D28" s="142">
        <v>20</v>
      </c>
      <c r="E28" s="27"/>
      <c r="F28" s="27"/>
    </row>
    <row r="29" spans="3:6" ht="15.75">
      <c r="C29" s="6" t="s">
        <v>170</v>
      </c>
      <c r="D29" s="142">
        <v>25</v>
      </c>
      <c r="E29" s="27"/>
      <c r="F29" s="27"/>
    </row>
    <row r="30" spans="3:6" ht="15.75">
      <c r="C30" s="6" t="s">
        <v>171</v>
      </c>
      <c r="D30" s="142">
        <v>0</v>
      </c>
      <c r="E30" s="27"/>
      <c r="F30" s="27"/>
    </row>
    <row r="31" spans="4:6" ht="15.75">
      <c r="D31" s="27"/>
      <c r="E31" s="27"/>
      <c r="F31" s="27"/>
    </row>
    <row r="32" ht="15.75">
      <c r="B32" s="8" t="s">
        <v>209</v>
      </c>
    </row>
    <row r="33" spans="2:6" ht="15.75">
      <c r="B33" s="15" t="s">
        <v>321</v>
      </c>
      <c r="F33" s="169">
        <f>Input!E6</f>
        <v>0.98</v>
      </c>
    </row>
    <row r="34" ht="15"/>
    <row r="35" spans="2:6" ht="15.75">
      <c r="B35" s="8"/>
      <c r="C35" s="12" t="s">
        <v>9</v>
      </c>
      <c r="D35" s="12" t="s">
        <v>10</v>
      </c>
      <c r="E35" s="12" t="s">
        <v>11</v>
      </c>
      <c r="F35" s="12" t="s">
        <v>12</v>
      </c>
    </row>
    <row r="36" spans="2:6" ht="15.75">
      <c r="B36" s="38" t="s">
        <v>105</v>
      </c>
      <c r="C36" s="11" t="s">
        <v>14</v>
      </c>
      <c r="D36" s="11" t="s">
        <v>15</v>
      </c>
      <c r="E36" s="11" t="s">
        <v>16</v>
      </c>
      <c r="F36" s="139" t="s">
        <v>17</v>
      </c>
    </row>
    <row r="37" spans="2:6" ht="15.75">
      <c r="B37" s="6" t="s">
        <v>120</v>
      </c>
      <c r="C37" s="5">
        <v>1</v>
      </c>
      <c r="D37" s="5">
        <v>5</v>
      </c>
      <c r="E37" s="5">
        <v>5</v>
      </c>
      <c r="F37" s="5">
        <v>30</v>
      </c>
    </row>
    <row r="38" spans="2:6" ht="15.75">
      <c r="B38" s="6" t="s">
        <v>19</v>
      </c>
      <c r="C38" s="5">
        <v>5</v>
      </c>
      <c r="D38" s="5">
        <v>25</v>
      </c>
      <c r="E38" s="5">
        <v>4</v>
      </c>
      <c r="F38" s="5">
        <v>30</v>
      </c>
    </row>
    <row r="39" spans="2:6" ht="15.75">
      <c r="B39" s="6" t="s">
        <v>122</v>
      </c>
      <c r="C39" s="5">
        <v>1</v>
      </c>
      <c r="D39" s="5">
        <v>5</v>
      </c>
      <c r="E39" s="5">
        <v>5</v>
      </c>
      <c r="F39" s="5">
        <v>30</v>
      </c>
    </row>
    <row r="40" spans="2:6" ht="15.75">
      <c r="B40" s="6" t="s">
        <v>231</v>
      </c>
      <c r="C40" s="5">
        <v>2</v>
      </c>
      <c r="D40" s="5">
        <v>5</v>
      </c>
      <c r="E40" s="5">
        <v>3</v>
      </c>
      <c r="F40" s="5">
        <v>30</v>
      </c>
    </row>
    <row r="41" spans="2:6" ht="15.75">
      <c r="B41" s="6" t="s">
        <v>3</v>
      </c>
      <c r="C41" s="5">
        <v>2</v>
      </c>
      <c r="D41" s="5">
        <v>40</v>
      </c>
      <c r="E41" s="5">
        <v>7</v>
      </c>
      <c r="F41" s="5">
        <v>30</v>
      </c>
    </row>
    <row r="42" spans="2:6" ht="15.75">
      <c r="B42" s="6" t="s">
        <v>121</v>
      </c>
      <c r="C42" s="5">
        <v>1</v>
      </c>
      <c r="D42" s="5">
        <v>5</v>
      </c>
      <c r="E42" s="5">
        <v>2</v>
      </c>
      <c r="F42" s="5">
        <v>100</v>
      </c>
    </row>
    <row r="43" ht="15.75">
      <c r="F43" s="123"/>
    </row>
    <row r="44" spans="2:7" ht="15.75">
      <c r="B44" s="7" t="s">
        <v>140</v>
      </c>
      <c r="C44" s="15"/>
      <c r="D44" s="15"/>
      <c r="E44" s="15"/>
      <c r="F44" s="15"/>
      <c r="G44" s="15"/>
    </row>
    <row r="45" spans="2:6" ht="15.75">
      <c r="B45" s="15" t="s">
        <v>216</v>
      </c>
      <c r="D45" s="15"/>
      <c r="E45" s="15"/>
      <c r="F45" s="5">
        <v>12</v>
      </c>
    </row>
    <row r="46" spans="2:6" ht="15.75">
      <c r="B46" s="15" t="s">
        <v>217</v>
      </c>
      <c r="D46" s="15"/>
      <c r="E46" s="15"/>
      <c r="F46" s="5">
        <v>4</v>
      </c>
    </row>
    <row r="47" spans="2:6" ht="15.75">
      <c r="B47" s="15" t="s">
        <v>218</v>
      </c>
      <c r="D47" s="15"/>
      <c r="E47" s="15"/>
      <c r="F47" s="141">
        <v>5</v>
      </c>
    </row>
    <row r="48" ht="15"/>
    <row r="49" spans="2:6" ht="15.75">
      <c r="B49" s="7" t="s">
        <v>219</v>
      </c>
      <c r="F49" s="123"/>
    </row>
    <row r="50" spans="2:6" ht="15.75">
      <c r="B50" s="7"/>
      <c r="C50" s="15" t="s">
        <v>336</v>
      </c>
      <c r="F50" s="141">
        <v>0</v>
      </c>
    </row>
    <row r="51" spans="3:6" ht="15.75">
      <c r="C51" s="15" t="s">
        <v>337</v>
      </c>
      <c r="F51" s="141">
        <v>120</v>
      </c>
    </row>
    <row r="52" ht="15"/>
    <row r="53" ht="15.75">
      <c r="B53" s="8" t="s">
        <v>82</v>
      </c>
    </row>
    <row r="54" spans="3:6" ht="15.75">
      <c r="C54" s="6" t="s">
        <v>93</v>
      </c>
      <c r="F54" s="35">
        <v>0.015</v>
      </c>
    </row>
    <row r="55" ht="15"/>
    <row r="56" spans="2:6" ht="15.75">
      <c r="B56" s="8" t="s">
        <v>83</v>
      </c>
      <c r="F56" s="123"/>
    </row>
    <row r="57" spans="2:6" ht="15.75">
      <c r="B57" s="8"/>
      <c r="C57" s="15" t="s">
        <v>334</v>
      </c>
      <c r="F57" s="24">
        <v>500</v>
      </c>
    </row>
    <row r="58" spans="2:6" ht="15.75">
      <c r="B58" s="8"/>
      <c r="C58" s="15" t="s">
        <v>333</v>
      </c>
      <c r="F58" s="24">
        <v>0.42</v>
      </c>
    </row>
    <row r="59" spans="2:6" ht="15.75">
      <c r="B59" s="8"/>
      <c r="C59" s="15" t="s">
        <v>335</v>
      </c>
      <c r="F59" s="4">
        <v>0</v>
      </c>
    </row>
    <row r="60" spans="2:6" ht="15.75">
      <c r="B60" s="8"/>
      <c r="C60" s="7" t="s">
        <v>123</v>
      </c>
      <c r="F60" s="123"/>
    </row>
    <row r="61" spans="3:6" ht="15.75">
      <c r="C61" s="6" t="s">
        <v>124</v>
      </c>
      <c r="F61" s="5">
        <v>10</v>
      </c>
    </row>
    <row r="62" spans="3:6" ht="15.75">
      <c r="C62" s="6" t="s">
        <v>125</v>
      </c>
      <c r="F62" s="24">
        <v>25</v>
      </c>
    </row>
    <row r="63" ht="15.75">
      <c r="F63" s="27"/>
    </row>
    <row r="64" spans="2:6" ht="15.75">
      <c r="B64" s="8" t="s">
        <v>25</v>
      </c>
      <c r="E64" s="11"/>
      <c r="F64" s="11"/>
    </row>
    <row r="65" spans="3:6" ht="15.75">
      <c r="C65" s="6" t="s">
        <v>52</v>
      </c>
      <c r="E65" s="4">
        <v>17.5</v>
      </c>
      <c r="F65" s="123"/>
    </row>
    <row r="67" ht="15.75">
      <c r="E67" s="11" t="s">
        <v>264</v>
      </c>
    </row>
    <row r="68" spans="3:5" ht="15.75">
      <c r="C68" s="6" t="s">
        <v>272</v>
      </c>
      <c r="E68" s="138">
        <v>30</v>
      </c>
    </row>
    <row r="69" spans="3:5" ht="15.75">
      <c r="C69" s="6" t="s">
        <v>273</v>
      </c>
      <c r="E69" s="138">
        <v>0</v>
      </c>
    </row>
    <row r="70" spans="3:5" ht="15.75">
      <c r="C70" s="6" t="s">
        <v>274</v>
      </c>
      <c r="E70" s="138">
        <v>5</v>
      </c>
    </row>
    <row r="71" spans="3:5" ht="15.75">
      <c r="C71" s="6" t="s">
        <v>116</v>
      </c>
      <c r="E71" s="138">
        <v>6</v>
      </c>
    </row>
    <row r="72" spans="3:5" ht="15.75">
      <c r="C72" s="6" t="s">
        <v>275</v>
      </c>
      <c r="E72" s="135">
        <f>'Picking Details'!L62</f>
        <v>3.704761904761905</v>
      </c>
    </row>
    <row r="73" spans="3:5" ht="15.75">
      <c r="C73" s="6" t="s">
        <v>276</v>
      </c>
      <c r="E73" s="140">
        <v>42</v>
      </c>
    </row>
    <row r="74" spans="3:5" ht="15.75">
      <c r="C74" s="6" t="s">
        <v>277</v>
      </c>
      <c r="E74" s="135">
        <f>SUM(E68:E73)</f>
        <v>86.70476190476191</v>
      </c>
    </row>
  </sheetData>
  <sheetProtection password="C6A6" sheet="1" objects="1" scenarios="1"/>
  <mergeCells count="1">
    <mergeCell ref="B2:G2"/>
  </mergeCells>
  <printOptions horizontalCentered="1"/>
  <pageMargins left="0.7480314960629921" right="0.7480314960629921" top="0.984251968503937" bottom="0.984251968503937" header="0.5118110236220472" footer="0.5118110236220472"/>
  <pageSetup firstPageNumber="7" useFirstPageNumber="1" horizontalDpi="300" verticalDpi="300" orientation="portrait" scale="90" r:id="rId3"/>
  <headerFooter alignWithMargins="0">
    <oddHeader>&amp;L&amp;9Guidelines: Strawberry U-Pick Costs&amp;R&amp;P</oddHeader>
    <oddFooter>&amp;R&amp;"Arial,Italic"&amp;9MAFRI, GO Team Branch and Crops Knowledge Centre</oddFooter>
  </headerFooter>
  <rowBreaks count="1" manualBreakCount="1">
    <brk id="43" max="6" man="1"/>
  </rowBreaks>
  <legacyDrawing r:id="rId2"/>
</worksheet>
</file>

<file path=xl/worksheets/sheet7.xml><?xml version="1.0" encoding="utf-8"?>
<worksheet xmlns="http://schemas.openxmlformats.org/spreadsheetml/2006/main" xmlns:r="http://schemas.openxmlformats.org/officeDocument/2006/relationships">
  <sheetPr codeName="Sheet31"/>
  <dimension ref="A2:M161"/>
  <sheetViews>
    <sheetView showGridLines="0" zoomScalePageLayoutView="0" workbookViewId="0" topLeftCell="A1">
      <selection activeCell="A1" sqref="A1"/>
    </sheetView>
  </sheetViews>
  <sheetFormatPr defaultColWidth="8.88671875" defaultRowHeight="15"/>
  <cols>
    <col min="1" max="1" width="3.10546875" style="2" customWidth="1"/>
    <col min="2" max="2" width="15.6640625" style="2" customWidth="1"/>
    <col min="3" max="3" width="3.5546875" style="2" customWidth="1"/>
    <col min="4" max="4" width="9.88671875" style="2" customWidth="1"/>
    <col min="5" max="5" width="2.21484375" style="2" customWidth="1"/>
    <col min="6" max="6" width="12.6640625" style="2" customWidth="1"/>
    <col min="7" max="7" width="10.10546875" style="2" customWidth="1"/>
    <col min="8" max="8" width="9.88671875" style="2" customWidth="1"/>
    <col min="9" max="9" width="11.4453125" style="2" customWidth="1"/>
    <col min="10" max="10" width="8.88671875" style="2" customWidth="1"/>
    <col min="11" max="11" width="10.4453125" style="2" customWidth="1"/>
    <col min="12" max="16384" width="8.88671875" style="2" customWidth="1"/>
  </cols>
  <sheetData>
    <row r="2" spans="1:9" ht="18">
      <c r="A2" s="208" t="s">
        <v>267</v>
      </c>
      <c r="B2" s="209"/>
      <c r="C2" s="209"/>
      <c r="D2" s="209"/>
      <c r="E2" s="209"/>
      <c r="F2" s="209"/>
      <c r="G2" s="209"/>
      <c r="H2" s="209"/>
      <c r="I2" s="209"/>
    </row>
    <row r="3" spans="3:7" ht="15" customHeight="1">
      <c r="C3" s="208" t="s">
        <v>281</v>
      </c>
      <c r="D3" s="209"/>
      <c r="E3" s="209"/>
      <c r="F3" s="209"/>
      <c r="G3" s="209"/>
    </row>
    <row r="4" ht="15.75">
      <c r="D4" s="25"/>
    </row>
    <row r="5" ht="15">
      <c r="I5" s="47" t="s">
        <v>69</v>
      </c>
    </row>
    <row r="6" ht="15.75">
      <c r="A6" s="25" t="s">
        <v>35</v>
      </c>
    </row>
    <row r="7" ht="15.75">
      <c r="A7" s="25"/>
    </row>
    <row r="8" spans="1:2" ht="15.75">
      <c r="A8" s="25"/>
      <c r="B8" s="25" t="s">
        <v>287</v>
      </c>
    </row>
    <row r="9" spans="1:9" ht="15.75">
      <c r="A9" s="25"/>
      <c r="D9" s="30">
        <f>' Summary'!F35</f>
        <v>5526.477150000001</v>
      </c>
      <c r="F9" s="2" t="s">
        <v>204</v>
      </c>
      <c r="I9" s="59"/>
    </row>
    <row r="10" spans="1:9" ht="15.75">
      <c r="A10" s="25"/>
      <c r="C10" s="47" t="s">
        <v>44</v>
      </c>
      <c r="D10" s="48">
        <f>COUNT(Input!D12:D16)</f>
        <v>5</v>
      </c>
      <c r="E10" s="48"/>
      <c r="F10" s="48" t="s">
        <v>205</v>
      </c>
      <c r="I10" s="59"/>
    </row>
    <row r="11" spans="1:9" ht="15.75">
      <c r="A11" s="25"/>
      <c r="C11" s="58" t="s">
        <v>37</v>
      </c>
      <c r="D11" s="34">
        <f>ROUND(D9/D10,2)</f>
        <v>1105.3</v>
      </c>
      <c r="E11" s="25"/>
      <c r="F11" s="25" t="s">
        <v>72</v>
      </c>
      <c r="I11" s="59"/>
    </row>
    <row r="12" spans="3:9" ht="15.75">
      <c r="C12" s="58"/>
      <c r="D12" s="61"/>
      <c r="E12" s="25"/>
      <c r="F12" s="25"/>
      <c r="I12" s="54"/>
    </row>
    <row r="13" ht="15.75">
      <c r="B13" s="25" t="s">
        <v>27</v>
      </c>
    </row>
    <row r="14" spans="2:9" ht="15.75">
      <c r="B14" s="25" t="s">
        <v>38</v>
      </c>
      <c r="C14" s="57"/>
      <c r="D14" s="62">
        <f>Picking!E10</f>
        <v>150</v>
      </c>
      <c r="E14" s="48"/>
      <c r="F14" s="2" t="s">
        <v>77</v>
      </c>
      <c r="I14" s="59"/>
    </row>
    <row r="15" spans="3:9" ht="15">
      <c r="C15" s="47" t="s">
        <v>36</v>
      </c>
      <c r="D15" s="65">
        <f>Picking!D10</f>
        <v>0.64</v>
      </c>
      <c r="E15" s="48"/>
      <c r="F15" s="48" t="s">
        <v>78</v>
      </c>
      <c r="I15" s="59"/>
    </row>
    <row r="16" spans="3:9" ht="15">
      <c r="C16" s="57" t="s">
        <v>37</v>
      </c>
      <c r="D16" s="30">
        <f>ROUND(D14*D15,2)</f>
        <v>96</v>
      </c>
      <c r="F16" s="2" t="s">
        <v>59</v>
      </c>
      <c r="I16" s="59"/>
    </row>
    <row r="17" spans="3:9" ht="15">
      <c r="C17" s="57"/>
      <c r="D17" s="63"/>
      <c r="I17" s="54"/>
    </row>
    <row r="18" spans="2:9" ht="18.75">
      <c r="B18" s="25" t="s">
        <v>96</v>
      </c>
      <c r="C18" s="57"/>
      <c r="D18" s="62">
        <f>Picking!E11</f>
        <v>20</v>
      </c>
      <c r="F18" s="2" t="s">
        <v>77</v>
      </c>
      <c r="I18" s="59"/>
    </row>
    <row r="19" spans="3:9" ht="15">
      <c r="C19" s="47" t="s">
        <v>36</v>
      </c>
      <c r="D19" s="65">
        <f>Picking!D11</f>
        <v>0.53</v>
      </c>
      <c r="F19" s="48" t="s">
        <v>78</v>
      </c>
      <c r="I19" s="59"/>
    </row>
    <row r="20" spans="3:9" ht="15">
      <c r="C20" s="57" t="s">
        <v>37</v>
      </c>
      <c r="D20" s="30">
        <f>ROUND(D18*D19,2)</f>
        <v>10.6</v>
      </c>
      <c r="F20" s="2" t="s">
        <v>59</v>
      </c>
      <c r="I20" s="59"/>
    </row>
    <row r="21" spans="3:9" ht="15">
      <c r="C21" s="57"/>
      <c r="D21" s="63"/>
      <c r="I21" s="54"/>
    </row>
    <row r="22" spans="2:9" ht="18.75">
      <c r="B22" s="25" t="s">
        <v>97</v>
      </c>
      <c r="C22" s="57" t="s">
        <v>40</v>
      </c>
      <c r="D22" s="62">
        <f>Picking!E12</f>
        <v>30</v>
      </c>
      <c r="F22" s="2" t="s">
        <v>77</v>
      </c>
      <c r="I22" s="59"/>
    </row>
    <row r="23" spans="3:9" ht="15">
      <c r="C23" s="47" t="s">
        <v>36</v>
      </c>
      <c r="D23" s="65">
        <f>Picking!D12</f>
        <v>0.49</v>
      </c>
      <c r="F23" s="48" t="s">
        <v>78</v>
      </c>
      <c r="I23" s="59"/>
    </row>
    <row r="24" spans="3:9" ht="15">
      <c r="C24" s="57" t="s">
        <v>37</v>
      </c>
      <c r="D24" s="30">
        <f>ROUND(D22*D23,2)</f>
        <v>14.7</v>
      </c>
      <c r="F24" s="2" t="s">
        <v>59</v>
      </c>
      <c r="I24" s="59"/>
    </row>
    <row r="25" spans="3:9" ht="15">
      <c r="C25" s="57"/>
      <c r="D25" s="63"/>
      <c r="I25" s="54"/>
    </row>
    <row r="26" spans="2:9" ht="15.75">
      <c r="B26" s="25" t="s">
        <v>39</v>
      </c>
      <c r="C26" s="57"/>
      <c r="D26" s="62">
        <f>Picking!E13</f>
        <v>5</v>
      </c>
      <c r="F26" s="2" t="s">
        <v>77</v>
      </c>
      <c r="I26" s="59"/>
    </row>
    <row r="27" spans="3:9" ht="15">
      <c r="C27" s="47" t="s">
        <v>36</v>
      </c>
      <c r="D27" s="65">
        <f>Picking!D13</f>
        <v>0.43</v>
      </c>
      <c r="F27" s="48" t="s">
        <v>78</v>
      </c>
      <c r="I27" s="59"/>
    </row>
    <row r="28" spans="3:9" ht="15">
      <c r="C28" s="57" t="s">
        <v>37</v>
      </c>
      <c r="D28" s="30">
        <f>ROUND(D26*D27,2)</f>
        <v>2.15</v>
      </c>
      <c r="F28" s="2" t="s">
        <v>59</v>
      </c>
      <c r="I28" s="59"/>
    </row>
    <row r="29" spans="3:9" ht="15">
      <c r="C29" s="57"/>
      <c r="D29" s="63"/>
      <c r="I29" s="54"/>
    </row>
    <row r="30" spans="2:9" ht="15.75">
      <c r="B30" s="25" t="s">
        <v>95</v>
      </c>
      <c r="C30" s="57"/>
      <c r="D30" s="62">
        <f>Picking!E14</f>
        <v>3</v>
      </c>
      <c r="F30" s="2" t="s">
        <v>77</v>
      </c>
      <c r="I30" s="59"/>
    </row>
    <row r="31" spans="3:9" ht="15">
      <c r="C31" s="47" t="s">
        <v>36</v>
      </c>
      <c r="D31" s="65">
        <f>Picking!D14</f>
        <v>1.5</v>
      </c>
      <c r="F31" s="48" t="s">
        <v>78</v>
      </c>
      <c r="I31" s="59"/>
    </row>
    <row r="32" spans="3:9" ht="15">
      <c r="C32" s="57" t="s">
        <v>37</v>
      </c>
      <c r="D32" s="30">
        <f>ROUND(D30*D31,2)</f>
        <v>4.5</v>
      </c>
      <c r="F32" s="2" t="s">
        <v>59</v>
      </c>
      <c r="I32" s="59"/>
    </row>
    <row r="33" spans="3:9" ht="15">
      <c r="C33" s="57"/>
      <c r="D33" s="30"/>
      <c r="I33" s="54"/>
    </row>
    <row r="34" spans="2:6" ht="15">
      <c r="B34" s="67" t="s">
        <v>92</v>
      </c>
      <c r="C34" s="57" t="s">
        <v>37</v>
      </c>
      <c r="D34" s="30">
        <f>Picking!D16</f>
        <v>1.75</v>
      </c>
      <c r="F34" s="2" t="s">
        <v>59</v>
      </c>
    </row>
    <row r="35" spans="2:4" ht="15">
      <c r="B35" s="67"/>
      <c r="C35" s="57"/>
      <c r="D35" s="30"/>
    </row>
    <row r="36" spans="2:9" ht="15.75">
      <c r="B36" s="28" t="s">
        <v>87</v>
      </c>
      <c r="C36" s="57" t="s">
        <v>37</v>
      </c>
      <c r="D36" s="61">
        <f>D16+D20+D24+D28+D32+D34</f>
        <v>129.7</v>
      </c>
      <c r="F36" s="25" t="s">
        <v>59</v>
      </c>
      <c r="I36" s="60"/>
    </row>
    <row r="37" spans="3:9" ht="15.75">
      <c r="C37" s="58"/>
      <c r="D37" s="37"/>
      <c r="E37" s="25"/>
      <c r="F37" s="25"/>
      <c r="I37" s="59"/>
    </row>
    <row r="38" ht="15.75">
      <c r="B38" s="25" t="s">
        <v>74</v>
      </c>
    </row>
    <row r="39" spans="3:9" ht="15">
      <c r="C39" s="57"/>
      <c r="D39" s="30">
        <f>Picking!D19</f>
        <v>30</v>
      </c>
      <c r="F39" s="2" t="s">
        <v>251</v>
      </c>
      <c r="I39" s="59"/>
    </row>
    <row r="40" spans="3:9" ht="15">
      <c r="C40" s="47" t="s">
        <v>40</v>
      </c>
      <c r="D40" s="31">
        <f>Picking!D20</f>
        <v>10</v>
      </c>
      <c r="E40" s="48"/>
      <c r="F40" s="48" t="s">
        <v>320</v>
      </c>
      <c r="I40" s="59"/>
    </row>
    <row r="41" spans="3:9" ht="15.75">
      <c r="C41" s="57" t="s">
        <v>37</v>
      </c>
      <c r="D41" s="34">
        <f>D39+D40</f>
        <v>40</v>
      </c>
      <c r="F41" s="25" t="s">
        <v>59</v>
      </c>
      <c r="I41" s="59"/>
    </row>
    <row r="43" spans="2:9" ht="15.75">
      <c r="B43" s="25" t="s">
        <v>177</v>
      </c>
      <c r="C43" s="57"/>
      <c r="D43" s="63"/>
      <c r="I43" s="54"/>
    </row>
    <row r="44" spans="3:9" ht="15.75">
      <c r="C44" s="58"/>
      <c r="D44" s="39">
        <f>Picking!D23</f>
        <v>24</v>
      </c>
      <c r="F44" s="2" t="s">
        <v>291</v>
      </c>
      <c r="I44" s="59"/>
    </row>
    <row r="45" spans="3:9" ht="15">
      <c r="C45" s="77" t="s">
        <v>40</v>
      </c>
      <c r="D45" s="64">
        <f>Picking!D24</f>
        <v>12</v>
      </c>
      <c r="E45" s="48"/>
      <c r="F45" s="48" t="s">
        <v>252</v>
      </c>
      <c r="I45" s="59"/>
    </row>
    <row r="46" spans="3:9" ht="15.75">
      <c r="C46" s="58" t="s">
        <v>37</v>
      </c>
      <c r="D46" s="61">
        <f>SUM(D44:D45)</f>
        <v>36</v>
      </c>
      <c r="F46" s="25" t="s">
        <v>59</v>
      </c>
      <c r="I46" s="59"/>
    </row>
    <row r="48" ht="15.75">
      <c r="B48" s="25" t="s">
        <v>208</v>
      </c>
    </row>
    <row r="49" spans="4:9" ht="15">
      <c r="D49" s="30">
        <f>Picking!D28</f>
        <v>20</v>
      </c>
      <c r="F49" s="2" t="s">
        <v>59</v>
      </c>
      <c r="I49" s="59"/>
    </row>
    <row r="50" spans="3:9" ht="15">
      <c r="C50" s="47" t="s">
        <v>40</v>
      </c>
      <c r="D50" s="31">
        <f>Picking!D29</f>
        <v>25</v>
      </c>
      <c r="E50" s="48"/>
      <c r="F50" s="48" t="s">
        <v>59</v>
      </c>
      <c r="I50" s="59"/>
    </row>
    <row r="51" spans="3:9" ht="15.75">
      <c r="C51" s="58" t="s">
        <v>37</v>
      </c>
      <c r="D51" s="34">
        <f>SUM(D49:D50)</f>
        <v>45</v>
      </c>
      <c r="F51" s="25" t="s">
        <v>59</v>
      </c>
      <c r="I51" s="59"/>
    </row>
    <row r="53" ht="15.75">
      <c r="B53" s="25" t="s">
        <v>179</v>
      </c>
    </row>
    <row r="54" spans="4:13" ht="15.75">
      <c r="D54" s="58" t="s">
        <v>9</v>
      </c>
      <c r="F54" s="58" t="s">
        <v>10</v>
      </c>
      <c r="G54" s="58" t="s">
        <v>11</v>
      </c>
      <c r="H54" s="58" t="s">
        <v>50</v>
      </c>
      <c r="K54" s="57" t="s">
        <v>145</v>
      </c>
      <c r="L54" s="57" t="s">
        <v>210</v>
      </c>
      <c r="M54" s="57" t="s">
        <v>212</v>
      </c>
    </row>
    <row r="55" spans="2:13" ht="15.75">
      <c r="B55" s="73" t="s">
        <v>13</v>
      </c>
      <c r="D55" s="46" t="s">
        <v>14</v>
      </c>
      <c r="F55" s="46" t="s">
        <v>48</v>
      </c>
      <c r="G55" s="46" t="s">
        <v>49</v>
      </c>
      <c r="H55" s="46" t="s">
        <v>51</v>
      </c>
      <c r="K55" s="47" t="s">
        <v>146</v>
      </c>
      <c r="L55" s="47" t="s">
        <v>211</v>
      </c>
      <c r="M55" s="47" t="s">
        <v>213</v>
      </c>
    </row>
    <row r="56" spans="2:13" ht="15">
      <c r="B56" s="2" t="str">
        <f>Picking!B37</f>
        <v>Straw removal</v>
      </c>
      <c r="D56" s="57">
        <f>Picking!C37</f>
        <v>1</v>
      </c>
      <c r="F56" s="57">
        <f>Picking!D37</f>
        <v>5</v>
      </c>
      <c r="G56" s="57">
        <f>Picking!E37</f>
        <v>5</v>
      </c>
      <c r="H56" s="83">
        <f>(0.25*(Picking!F37*0.75))*L56*Input!$E$6</f>
        <v>2.205</v>
      </c>
      <c r="I56" s="59"/>
      <c r="K56" s="68">
        <f aca="true" t="shared" si="0" ref="K56:K61">(F56*G56)/10</f>
        <v>2.5</v>
      </c>
      <c r="L56" s="69">
        <f aca="true" t="shared" si="1" ref="L56:L61">IF(ISERR(1/K56),0,(1/K56)*D56)</f>
        <v>0.4</v>
      </c>
      <c r="M56" s="68">
        <f aca="true" t="shared" si="2" ref="M56:M61">0.1*H56</f>
        <v>0.22050000000000003</v>
      </c>
    </row>
    <row r="57" spans="2:13" ht="15">
      <c r="B57" s="2" t="str">
        <f>Picking!B38</f>
        <v>Spray</v>
      </c>
      <c r="D57" s="57">
        <f>Picking!C38</f>
        <v>5</v>
      </c>
      <c r="F57" s="57">
        <f>Picking!D38</f>
        <v>25</v>
      </c>
      <c r="G57" s="57">
        <f>Picking!E38</f>
        <v>4</v>
      </c>
      <c r="H57" s="83">
        <f>(0.25*(Picking!F38*0.75))*L57*Input!$E$6</f>
        <v>2.75625</v>
      </c>
      <c r="I57" s="59"/>
      <c r="K57" s="68">
        <f t="shared" si="0"/>
        <v>10</v>
      </c>
      <c r="L57" s="69">
        <f t="shared" si="1"/>
        <v>0.5</v>
      </c>
      <c r="M57" s="68">
        <f t="shared" si="2"/>
        <v>0.275625</v>
      </c>
    </row>
    <row r="58" spans="2:13" ht="15">
      <c r="B58" s="2" t="str">
        <f>Picking!B39</f>
        <v>Mowing</v>
      </c>
      <c r="D58" s="57">
        <f>Picking!C39</f>
        <v>1</v>
      </c>
      <c r="F58" s="57">
        <f>Picking!D39</f>
        <v>5</v>
      </c>
      <c r="G58" s="57">
        <f>Picking!E39</f>
        <v>5</v>
      </c>
      <c r="H58" s="83">
        <f>(0.25*(Picking!F39*0.75))*L58*Input!$E$6</f>
        <v>2.205</v>
      </c>
      <c r="I58" s="59"/>
      <c r="K58" s="68">
        <f t="shared" si="0"/>
        <v>2.5</v>
      </c>
      <c r="L58" s="69">
        <f t="shared" si="1"/>
        <v>0.4</v>
      </c>
      <c r="M58" s="68">
        <f t="shared" si="2"/>
        <v>0.22050000000000003</v>
      </c>
    </row>
    <row r="59" spans="2:13" ht="15">
      <c r="B59" s="2" t="str">
        <f>Picking!B40</f>
        <v>Rototilling</v>
      </c>
      <c r="D59" s="57">
        <f>Picking!C40</f>
        <v>2</v>
      </c>
      <c r="F59" s="57">
        <f>Picking!D40</f>
        <v>5</v>
      </c>
      <c r="G59" s="57">
        <f>Picking!E40</f>
        <v>3</v>
      </c>
      <c r="H59" s="83">
        <f>(0.25*(Picking!F40*0.75))*L59*Input!$E$6</f>
        <v>7.35</v>
      </c>
      <c r="I59" s="59"/>
      <c r="K59" s="68">
        <f t="shared" si="0"/>
        <v>1.5</v>
      </c>
      <c r="L59" s="69">
        <f t="shared" si="1"/>
        <v>1.3333333333333333</v>
      </c>
      <c r="M59" s="68">
        <f t="shared" si="2"/>
        <v>0.735</v>
      </c>
    </row>
    <row r="60" spans="2:13" ht="15">
      <c r="B60" s="2" t="str">
        <f>Picking!B41</f>
        <v>Fertilizer</v>
      </c>
      <c r="D60" s="57">
        <f>Picking!C41</f>
        <v>2</v>
      </c>
      <c r="F60" s="57">
        <f>Picking!D41</f>
        <v>40</v>
      </c>
      <c r="G60" s="57">
        <f>Picking!E41</f>
        <v>7</v>
      </c>
      <c r="H60" s="83">
        <f>(0.25*(Picking!F41*0.75))*L60*Input!$E$6</f>
        <v>0.39374999999999993</v>
      </c>
      <c r="I60" s="59"/>
      <c r="K60" s="68">
        <f t="shared" si="0"/>
        <v>28</v>
      </c>
      <c r="L60" s="69">
        <f t="shared" si="1"/>
        <v>0.07142857142857142</v>
      </c>
      <c r="M60" s="68">
        <f t="shared" si="2"/>
        <v>0.03937499999999999</v>
      </c>
    </row>
    <row r="61" spans="2:13" ht="15">
      <c r="B61" s="2" t="str">
        <f>Picking!B42</f>
        <v>Straw Spreading</v>
      </c>
      <c r="D61" s="57">
        <f>Picking!C42</f>
        <v>1</v>
      </c>
      <c r="F61" s="57">
        <f>Picking!D42</f>
        <v>5</v>
      </c>
      <c r="G61" s="57">
        <f>Picking!E42</f>
        <v>2</v>
      </c>
      <c r="H61" s="98">
        <f>(0.25*(Picking!F42*0.75))*L61*Input!$E$6</f>
        <v>18.375</v>
      </c>
      <c r="I61" s="59"/>
      <c r="K61" s="115">
        <f t="shared" si="0"/>
        <v>1</v>
      </c>
      <c r="L61" s="116">
        <f t="shared" si="1"/>
        <v>1</v>
      </c>
      <c r="M61" s="115">
        <f t="shared" si="2"/>
        <v>1.8375000000000001</v>
      </c>
    </row>
    <row r="62" spans="6:13" ht="15.75">
      <c r="F62" s="57"/>
      <c r="H62" s="84">
        <f>ROUND(SUM(H56:H61),2)</f>
        <v>33.29</v>
      </c>
      <c r="I62" s="59"/>
      <c r="K62" s="68">
        <f>SUM(K56:K61)</f>
        <v>45.5</v>
      </c>
      <c r="L62" s="69">
        <f>SUM(L56:L61)</f>
        <v>3.704761904761905</v>
      </c>
      <c r="M62" s="68">
        <f>SUM(M56:M61)</f>
        <v>3.3285</v>
      </c>
    </row>
    <row r="63" spans="6:13" ht="15.75">
      <c r="F63" s="57"/>
      <c r="H63" s="84"/>
      <c r="K63" s="68"/>
      <c r="L63" s="69"/>
      <c r="M63" s="68"/>
    </row>
    <row r="64" spans="2:13" ht="15.75">
      <c r="B64" s="25" t="s">
        <v>143</v>
      </c>
      <c r="K64" s="68"/>
      <c r="L64" s="69"/>
      <c r="M64" s="68"/>
    </row>
    <row r="65" spans="3:13" ht="15">
      <c r="C65"/>
      <c r="D65">
        <f>Picking!F45</f>
        <v>12</v>
      </c>
      <c r="E65"/>
      <c r="F65" t="s">
        <v>192</v>
      </c>
      <c r="G65"/>
      <c r="H65"/>
      <c r="I65" s="94"/>
      <c r="K65" s="68"/>
      <c r="L65" s="69"/>
      <c r="M65" s="68"/>
    </row>
    <row r="66" spans="3:13" ht="15">
      <c r="C66" s="91" t="s">
        <v>36</v>
      </c>
      <c r="D66">
        <f>Picking!F46</f>
        <v>4</v>
      </c>
      <c r="E66"/>
      <c r="F66" t="s">
        <v>283</v>
      </c>
      <c r="G66"/>
      <c r="H66"/>
      <c r="I66" s="94"/>
      <c r="K66" s="68"/>
      <c r="L66" s="69"/>
      <c r="M66" s="68"/>
    </row>
    <row r="67" spans="3:13" ht="15">
      <c r="C67" s="47" t="s">
        <v>36</v>
      </c>
      <c r="D67" s="64">
        <f>Picking!F47</f>
        <v>5</v>
      </c>
      <c r="E67" s="48"/>
      <c r="F67" s="48" t="s">
        <v>193</v>
      </c>
      <c r="G67"/>
      <c r="H67"/>
      <c r="I67" s="94"/>
      <c r="K67" s="68"/>
      <c r="L67" s="69"/>
      <c r="M67" s="68"/>
    </row>
    <row r="68" spans="3:13" ht="15.75">
      <c r="C68" s="58" t="s">
        <v>37</v>
      </c>
      <c r="D68" s="61">
        <f>(D65*D66)*D67</f>
        <v>240</v>
      </c>
      <c r="E68" s="25"/>
      <c r="F68" s="25" t="s">
        <v>72</v>
      </c>
      <c r="G68"/>
      <c r="H68"/>
      <c r="I68" s="94"/>
      <c r="K68" s="68"/>
      <c r="L68" s="69"/>
      <c r="M68" s="68"/>
    </row>
    <row r="69" spans="6:13" ht="15.75">
      <c r="F69" s="57"/>
      <c r="H69" s="84"/>
      <c r="K69" s="68"/>
      <c r="L69" s="69"/>
      <c r="M69" s="68"/>
    </row>
    <row r="70" ht="15.75">
      <c r="B70" s="25" t="s">
        <v>257</v>
      </c>
    </row>
    <row r="71" spans="3:9" ht="15.75">
      <c r="C71" s="48"/>
      <c r="D71" s="30">
        <f>Picking!F50+Picking!F51</f>
        <v>120</v>
      </c>
      <c r="F71" s="25" t="s">
        <v>59</v>
      </c>
      <c r="I71" s="59"/>
    </row>
    <row r="72" spans="3:9" ht="15">
      <c r="C72" s="47" t="s">
        <v>44</v>
      </c>
      <c r="D72" s="48">
        <f>Input!E2</f>
        <v>10</v>
      </c>
      <c r="E72" s="48"/>
      <c r="F72" s="48" t="s">
        <v>90</v>
      </c>
      <c r="I72" s="59"/>
    </row>
    <row r="73" spans="3:9" ht="15.75">
      <c r="C73" s="58" t="s">
        <v>37</v>
      </c>
      <c r="D73" s="34">
        <f>ROUND(D71/D72,2)</f>
        <v>12</v>
      </c>
      <c r="E73" s="25"/>
      <c r="F73" s="25" t="s">
        <v>72</v>
      </c>
      <c r="I73" s="59"/>
    </row>
    <row r="75" ht="15.75">
      <c r="B75" s="25" t="s">
        <v>181</v>
      </c>
    </row>
    <row r="76" spans="3:9" ht="15.75">
      <c r="C76" s="66"/>
      <c r="D76" s="70">
        <f>Picking!F54</f>
        <v>0.015</v>
      </c>
      <c r="F76" s="2" t="s">
        <v>54</v>
      </c>
      <c r="I76" s="59"/>
    </row>
    <row r="77" spans="3:9" ht="15">
      <c r="C77" s="77" t="s">
        <v>36</v>
      </c>
      <c r="D77" s="78">
        <f>Input!E47</f>
        <v>16062.5</v>
      </c>
      <c r="F77" s="48" t="s">
        <v>55</v>
      </c>
      <c r="I77" s="59"/>
    </row>
    <row r="78" spans="3:9" ht="15.75">
      <c r="C78" s="66" t="s">
        <v>37</v>
      </c>
      <c r="D78" s="34">
        <f>ROUND(D76*D77,2)</f>
        <v>240.94</v>
      </c>
      <c r="F78" s="25" t="s">
        <v>59</v>
      </c>
      <c r="I78" s="59"/>
    </row>
    <row r="79" spans="3:9" ht="15.75">
      <c r="C79" s="66"/>
      <c r="D79" s="34"/>
      <c r="F79" s="25"/>
      <c r="I79" s="54"/>
    </row>
    <row r="80" spans="2:3" ht="15.75">
      <c r="B80" s="25" t="s">
        <v>247</v>
      </c>
      <c r="C80" s="57"/>
    </row>
    <row r="81" spans="3:9" ht="15">
      <c r="C81" s="57"/>
      <c r="D81" s="39">
        <f>Picking!F57</f>
        <v>500</v>
      </c>
      <c r="F81" s="2" t="s">
        <v>338</v>
      </c>
      <c r="I81" s="59"/>
    </row>
    <row r="82" spans="3:9" ht="15">
      <c r="C82" s="172"/>
      <c r="D82" s="39">
        <f>Picking!F59</f>
        <v>0</v>
      </c>
      <c r="F82" s="2" t="s">
        <v>339</v>
      </c>
      <c r="I82" s="59"/>
    </row>
    <row r="83" spans="3:9" ht="15">
      <c r="C83" s="172"/>
      <c r="D83" s="39">
        <f>((Input!E18/5)*Picking!F58)</f>
        <v>450.82800000000003</v>
      </c>
      <c r="F83" s="2" t="s">
        <v>340</v>
      </c>
      <c r="I83" s="59"/>
    </row>
    <row r="84" spans="3:9" ht="15">
      <c r="C84" s="47" t="s">
        <v>44</v>
      </c>
      <c r="D84" s="48">
        <f>Input!E2</f>
        <v>10</v>
      </c>
      <c r="E84" s="48"/>
      <c r="F84" s="48" t="s">
        <v>90</v>
      </c>
      <c r="I84" s="59"/>
    </row>
    <row r="85" spans="3:9" ht="15.75">
      <c r="C85" s="58" t="s">
        <v>37</v>
      </c>
      <c r="D85" s="34">
        <f>ROUND(SUM(SUM(D81:D83)/D84),2)</f>
        <v>95.08</v>
      </c>
      <c r="E85" s="25"/>
      <c r="F85" s="25" t="s">
        <v>72</v>
      </c>
      <c r="I85" s="59"/>
    </row>
    <row r="86" ht="15">
      <c r="C86" s="57"/>
    </row>
    <row r="87" spans="2:9" ht="15">
      <c r="B87" s="67" t="s">
        <v>123</v>
      </c>
      <c r="C87" s="57"/>
      <c r="D87" s="2">
        <f>Picking!F61</f>
        <v>10</v>
      </c>
      <c r="F87" s="2" t="s">
        <v>214</v>
      </c>
      <c r="I87" s="59"/>
    </row>
    <row r="88" spans="3:9" ht="15">
      <c r="C88" s="47" t="s">
        <v>36</v>
      </c>
      <c r="D88" s="31">
        <f>Picking!F62</f>
        <v>25</v>
      </c>
      <c r="E88" s="48"/>
      <c r="F88" s="48" t="s">
        <v>215</v>
      </c>
      <c r="I88" s="59"/>
    </row>
    <row r="89" spans="3:9" ht="15.75">
      <c r="C89" s="58" t="s">
        <v>37</v>
      </c>
      <c r="D89" s="34">
        <f>ROUND(D87*D88,2)</f>
        <v>250</v>
      </c>
      <c r="E89" s="25"/>
      <c r="F89" s="25" t="s">
        <v>72</v>
      </c>
      <c r="I89" s="59"/>
    </row>
    <row r="90" ht="15">
      <c r="C90" s="57"/>
    </row>
    <row r="91" spans="2:3" ht="15.75">
      <c r="B91" s="25" t="s">
        <v>248</v>
      </c>
      <c r="C91" s="57"/>
    </row>
    <row r="92" spans="3:9" ht="15.75">
      <c r="C92" s="57" t="s">
        <v>37</v>
      </c>
      <c r="D92" s="61">
        <f>Input!E5</f>
        <v>6</v>
      </c>
      <c r="F92" s="25" t="s">
        <v>59</v>
      </c>
      <c r="I92" s="59"/>
    </row>
    <row r="93" ht="15">
      <c r="D93" s="39"/>
    </row>
    <row r="94" ht="15.75">
      <c r="B94" s="25" t="s">
        <v>249</v>
      </c>
    </row>
    <row r="95" spans="3:9" ht="15">
      <c r="C95" s="57"/>
      <c r="D95" s="39">
        <f>' Summary'!G18</f>
        <v>2970.17</v>
      </c>
      <c r="F95" s="2" t="s">
        <v>286</v>
      </c>
      <c r="I95" s="59"/>
    </row>
    <row r="96" spans="3:9" ht="15">
      <c r="C96" s="57" t="s">
        <v>44</v>
      </c>
      <c r="D96" s="62">
        <v>2</v>
      </c>
      <c r="F96" s="2" t="s">
        <v>60</v>
      </c>
      <c r="I96" s="60"/>
    </row>
    <row r="97" spans="3:9" ht="15">
      <c r="C97" s="47" t="s">
        <v>36</v>
      </c>
      <c r="D97" s="75">
        <f>Input!E7</f>
        <v>0.055</v>
      </c>
      <c r="E97" s="48"/>
      <c r="F97" s="48" t="s">
        <v>61</v>
      </c>
      <c r="G97" s="48"/>
      <c r="I97" s="60"/>
    </row>
    <row r="98" spans="3:9" ht="15.75">
      <c r="C98" s="66" t="s">
        <v>37</v>
      </c>
      <c r="D98" s="34">
        <f>(D95/D96)*D97</f>
        <v>81.679675</v>
      </c>
      <c r="F98" s="25" t="s">
        <v>59</v>
      </c>
      <c r="I98" s="60"/>
    </row>
    <row r="100" ht="15.75">
      <c r="A100" s="25" t="s">
        <v>45</v>
      </c>
    </row>
    <row r="102" spans="2:6" ht="15.75">
      <c r="B102" s="25" t="s">
        <v>58</v>
      </c>
      <c r="D102" s="73" t="s">
        <v>71</v>
      </c>
      <c r="E102" s="48"/>
      <c r="F102" s="48"/>
    </row>
    <row r="103" spans="4:8" ht="15.75">
      <c r="D103" s="58" t="s">
        <v>89</v>
      </c>
      <c r="E103" s="57"/>
      <c r="F103" s="57"/>
      <c r="H103" s="25"/>
    </row>
    <row r="104" spans="4:6" ht="15.75">
      <c r="D104" s="58"/>
      <c r="E104" s="57"/>
      <c r="F104" s="57"/>
    </row>
    <row r="105" ht="15.75">
      <c r="B105" s="25" t="s">
        <v>30</v>
      </c>
    </row>
    <row r="106" spans="4:9" ht="15">
      <c r="D106" s="39">
        <f>Input!E45</f>
        <v>7872.5</v>
      </c>
      <c r="F106" s="2" t="s">
        <v>62</v>
      </c>
      <c r="I106" s="59"/>
    </row>
    <row r="107" spans="3:9" ht="15">
      <c r="C107" s="57" t="s">
        <v>46</v>
      </c>
      <c r="D107" s="39">
        <f>Input!E45*Input!H36</f>
        <v>1180.875</v>
      </c>
      <c r="F107" s="2" t="s">
        <v>63</v>
      </c>
      <c r="G107" s="48"/>
      <c r="I107" s="60"/>
    </row>
    <row r="108" spans="3:9" ht="15">
      <c r="C108" s="47" t="s">
        <v>44</v>
      </c>
      <c r="D108" s="74">
        <f>Input!G36</f>
        <v>10</v>
      </c>
      <c r="E108" s="48"/>
      <c r="F108" s="48" t="s">
        <v>64</v>
      </c>
      <c r="I108" s="60"/>
    </row>
    <row r="109" spans="3:9" ht="15.75">
      <c r="C109" s="66" t="s">
        <v>37</v>
      </c>
      <c r="D109" s="34">
        <f>ROUND((D106-D107)/D108,2)</f>
        <v>669.16</v>
      </c>
      <c r="F109" s="25" t="s">
        <v>59</v>
      </c>
      <c r="I109" s="60"/>
    </row>
    <row r="111" spans="2:9" ht="15.75">
      <c r="B111" s="25" t="s">
        <v>289</v>
      </c>
      <c r="I111" s="54"/>
    </row>
    <row r="112" spans="3:9" ht="15">
      <c r="C112" s="57"/>
      <c r="D112" s="39">
        <f>Input!E46</f>
        <v>5550</v>
      </c>
      <c r="F112" s="2" t="s">
        <v>62</v>
      </c>
      <c r="I112" s="59"/>
    </row>
    <row r="113" spans="3:9" ht="15">
      <c r="C113" s="57" t="s">
        <v>46</v>
      </c>
      <c r="D113" s="39">
        <f>Input!E46*Input!H43</f>
        <v>776.9999999999999</v>
      </c>
      <c r="F113" s="2" t="s">
        <v>63</v>
      </c>
      <c r="I113" s="60"/>
    </row>
    <row r="114" spans="3:9" ht="15">
      <c r="C114" s="47" t="s">
        <v>44</v>
      </c>
      <c r="D114" s="74">
        <f>Input!G43</f>
        <v>16</v>
      </c>
      <c r="F114" s="48" t="s">
        <v>64</v>
      </c>
      <c r="I114" s="60"/>
    </row>
    <row r="115" spans="3:9" ht="15.75">
      <c r="C115" s="66" t="s">
        <v>37</v>
      </c>
      <c r="D115" s="34">
        <f>(+D112-D113)/D114</f>
        <v>298.3125</v>
      </c>
      <c r="F115" s="25" t="s">
        <v>59</v>
      </c>
      <c r="I115" s="60"/>
    </row>
    <row r="116" ht="15">
      <c r="C116" s="57"/>
    </row>
    <row r="117" ht="15">
      <c r="C117" s="57"/>
    </row>
    <row r="118" spans="2:9" ht="15.75">
      <c r="B118" s="25" t="s">
        <v>57</v>
      </c>
      <c r="C118" s="57"/>
      <c r="D118" s="73" t="s">
        <v>88</v>
      </c>
      <c r="I118" s="54"/>
    </row>
    <row r="119" spans="3:9" ht="15.75">
      <c r="C119" s="57"/>
      <c r="E119" s="58">
        <v>2</v>
      </c>
      <c r="I119" s="54"/>
    </row>
    <row r="120" spans="3:9" ht="15">
      <c r="C120" s="57"/>
      <c r="I120" s="54"/>
    </row>
    <row r="121" spans="2:9" ht="15.75">
      <c r="B121" s="25" t="s">
        <v>32</v>
      </c>
      <c r="C121" s="57"/>
      <c r="I121" s="54"/>
    </row>
    <row r="122" spans="3:9" ht="15">
      <c r="C122" s="57"/>
      <c r="D122" s="39">
        <f>Input!E4</f>
        <v>2400</v>
      </c>
      <c r="F122" s="2" t="s">
        <v>62</v>
      </c>
      <c r="I122" s="59"/>
    </row>
    <row r="123" spans="3:9" ht="15">
      <c r="C123" s="47" t="s">
        <v>36</v>
      </c>
      <c r="D123" s="75">
        <f>Input!E8</f>
        <v>0.025</v>
      </c>
      <c r="E123" s="48"/>
      <c r="F123" s="48" t="s">
        <v>65</v>
      </c>
      <c r="I123" s="59"/>
    </row>
    <row r="124" spans="3:9" ht="15.75">
      <c r="C124" s="72" t="s">
        <v>37</v>
      </c>
      <c r="D124" s="34">
        <f>(+D122*D123)</f>
        <v>60</v>
      </c>
      <c r="F124" s="25" t="s">
        <v>59</v>
      </c>
      <c r="I124" s="59"/>
    </row>
    <row r="125" ht="15">
      <c r="I125" s="54"/>
    </row>
    <row r="126" spans="2:9" ht="15.75">
      <c r="B126" s="25" t="s">
        <v>33</v>
      </c>
      <c r="I126" s="54"/>
    </row>
    <row r="127" spans="4:9" ht="15">
      <c r="D127" s="39">
        <f>Input!E45</f>
        <v>7872.5</v>
      </c>
      <c r="F127" s="2" t="s">
        <v>62</v>
      </c>
      <c r="I127" s="59"/>
    </row>
    <row r="128" spans="3:9" ht="15">
      <c r="C128" s="57" t="s">
        <v>40</v>
      </c>
      <c r="D128" s="39">
        <f>Input!E45*Input!H36</f>
        <v>1180.875</v>
      </c>
      <c r="F128" s="2" t="s">
        <v>63</v>
      </c>
      <c r="I128" s="59"/>
    </row>
    <row r="129" spans="3:9" ht="15">
      <c r="C129" s="57" t="s">
        <v>44</v>
      </c>
      <c r="D129" s="62">
        <v>2</v>
      </c>
      <c r="F129" s="2" t="s">
        <v>60</v>
      </c>
      <c r="I129" s="59"/>
    </row>
    <row r="130" spans="3:9" ht="15">
      <c r="C130" s="47" t="s">
        <v>36</v>
      </c>
      <c r="D130" s="75">
        <f>Input!E8</f>
        <v>0.025</v>
      </c>
      <c r="E130" s="48"/>
      <c r="F130" s="48" t="s">
        <v>65</v>
      </c>
      <c r="I130" s="59"/>
    </row>
    <row r="131" spans="3:9" ht="15.75">
      <c r="C131" s="66" t="s">
        <v>37</v>
      </c>
      <c r="D131" s="34">
        <f>ROUND(((+D127+D128)/D129)*D130,2)</f>
        <v>113.17</v>
      </c>
      <c r="F131" s="25" t="s">
        <v>59</v>
      </c>
      <c r="G131" s="54"/>
      <c r="H131" s="54"/>
      <c r="I131" s="59"/>
    </row>
    <row r="132" ht="15">
      <c r="C132" s="57"/>
    </row>
    <row r="133" spans="2:3" ht="15.75">
      <c r="B133" s="25" t="s">
        <v>288</v>
      </c>
      <c r="C133" s="57"/>
    </row>
    <row r="134" spans="3:9" ht="15">
      <c r="C134" s="57"/>
      <c r="D134" s="39">
        <f>Input!E46</f>
        <v>5550</v>
      </c>
      <c r="F134" s="2" t="s">
        <v>62</v>
      </c>
      <c r="I134" s="59"/>
    </row>
    <row r="135" spans="3:9" ht="15">
      <c r="C135" s="57" t="s">
        <v>40</v>
      </c>
      <c r="D135" s="39">
        <f>Input!E46*Input!H43</f>
        <v>776.9999999999999</v>
      </c>
      <c r="F135" s="2" t="s">
        <v>63</v>
      </c>
      <c r="I135" s="59"/>
    </row>
    <row r="136" spans="3:9" ht="15">
      <c r="C136" s="57" t="s">
        <v>44</v>
      </c>
      <c r="D136" s="62">
        <v>2</v>
      </c>
      <c r="F136" s="2" t="s">
        <v>60</v>
      </c>
      <c r="I136" s="59"/>
    </row>
    <row r="137" spans="3:9" ht="15">
      <c r="C137" s="47" t="s">
        <v>36</v>
      </c>
      <c r="D137" s="75">
        <f>Input!E8</f>
        <v>0.025</v>
      </c>
      <c r="E137" s="48"/>
      <c r="F137" s="48" t="s">
        <v>65</v>
      </c>
      <c r="I137" s="59"/>
    </row>
    <row r="138" spans="3:9" ht="15.75">
      <c r="C138" s="66" t="s">
        <v>37</v>
      </c>
      <c r="D138" s="34">
        <f>((+D134+D135)/D136)*D137</f>
        <v>79.0875</v>
      </c>
      <c r="F138" s="25" t="s">
        <v>59</v>
      </c>
      <c r="I138" s="59"/>
    </row>
    <row r="140" ht="15.75">
      <c r="B140" s="25" t="s">
        <v>66</v>
      </c>
    </row>
    <row r="141" spans="4:9" ht="15">
      <c r="D141" s="121">
        <f>Picking!E68</f>
        <v>30</v>
      </c>
      <c r="F141" s="2" t="s">
        <v>258</v>
      </c>
      <c r="I141" s="59"/>
    </row>
    <row r="142" spans="3:9" ht="15">
      <c r="C142" s="57" t="s">
        <v>40</v>
      </c>
      <c r="D142" s="121">
        <f>Picking!E69</f>
        <v>0</v>
      </c>
      <c r="F142" s="2" t="s">
        <v>263</v>
      </c>
      <c r="I142" s="59"/>
    </row>
    <row r="143" spans="3:9" ht="15">
      <c r="C143" s="57" t="s">
        <v>40</v>
      </c>
      <c r="D143" s="121">
        <f>Picking!E70</f>
        <v>5</v>
      </c>
      <c r="E143" s="48"/>
      <c r="F143" s="2" t="s">
        <v>260</v>
      </c>
      <c r="I143" s="59"/>
    </row>
    <row r="144" spans="3:9" ht="15">
      <c r="C144" s="57" t="s">
        <v>40</v>
      </c>
      <c r="D144" s="121">
        <f>Picking!E71</f>
        <v>6</v>
      </c>
      <c r="F144" s="2" t="s">
        <v>261</v>
      </c>
      <c r="I144" s="59"/>
    </row>
    <row r="145" spans="3:9" ht="15">
      <c r="C145" s="57" t="s">
        <v>40</v>
      </c>
      <c r="D145" s="121">
        <f>L62</f>
        <v>3.704761904761905</v>
      </c>
      <c r="F145" s="2" t="s">
        <v>262</v>
      </c>
      <c r="I145" s="59"/>
    </row>
    <row r="146" spans="3:9" ht="15">
      <c r="C146" s="57" t="s">
        <v>40</v>
      </c>
      <c r="D146" s="121">
        <f>Picking!E73</f>
        <v>42</v>
      </c>
      <c r="F146" s="2" t="s">
        <v>271</v>
      </c>
      <c r="I146" s="59"/>
    </row>
    <row r="147" spans="3:9" ht="15">
      <c r="C147" s="47" t="s">
        <v>36</v>
      </c>
      <c r="D147" s="64">
        <f>Picking!E65</f>
        <v>17.5</v>
      </c>
      <c r="E147" s="48"/>
      <c r="F147" s="48" t="s">
        <v>56</v>
      </c>
      <c r="G147" s="48"/>
      <c r="I147" s="59"/>
    </row>
    <row r="148" spans="3:9" ht="15.75">
      <c r="C148" s="58" t="s">
        <v>37</v>
      </c>
      <c r="D148" s="61">
        <f>SUM(D141:D146)*D147</f>
        <v>1517.3333333333335</v>
      </c>
      <c r="F148" s="25" t="s">
        <v>59</v>
      </c>
      <c r="I148" s="59"/>
    </row>
    <row r="153" spans="1:9" ht="15">
      <c r="A153" s="59"/>
      <c r="B153" s="59"/>
      <c r="C153" s="59"/>
      <c r="D153" s="59"/>
      <c r="E153" s="59"/>
      <c r="F153" s="59"/>
      <c r="G153" s="59"/>
      <c r="H153" s="59"/>
      <c r="I153" s="59"/>
    </row>
    <row r="154" ht="15">
      <c r="B154" s="2" t="s">
        <v>303</v>
      </c>
    </row>
    <row r="155" spans="3:6" ht="15">
      <c r="C155" s="54"/>
      <c r="D155" s="54"/>
      <c r="E155" s="54"/>
      <c r="F155" s="54"/>
    </row>
    <row r="156" ht="15">
      <c r="B156" s="54" t="s">
        <v>53</v>
      </c>
    </row>
    <row r="157" spans="2:7" ht="15">
      <c r="B157" s="2" t="s">
        <v>299</v>
      </c>
      <c r="G157" s="2" t="s">
        <v>301</v>
      </c>
    </row>
    <row r="158" spans="2:7" ht="15">
      <c r="B158" s="2" t="s">
        <v>300</v>
      </c>
      <c r="G158" s="2" t="s">
        <v>302</v>
      </c>
    </row>
    <row r="160" ht="15">
      <c r="B160" s="2" t="s">
        <v>304</v>
      </c>
    </row>
    <row r="161" ht="15">
      <c r="B161" s="2" t="s">
        <v>302</v>
      </c>
    </row>
  </sheetData>
  <sheetProtection password="C6A6" sheet="1" objects="1" scenarios="1"/>
  <mergeCells count="2">
    <mergeCell ref="A2:I2"/>
    <mergeCell ref="C3:G3"/>
  </mergeCells>
  <printOptions horizontalCentered="1"/>
  <pageMargins left="0.7480314960629921" right="0.7480314960629921" top="0.984251968503937" bottom="0.984251968503937" header="0.5118110236220472" footer="0.5118110236220472"/>
  <pageSetup firstPageNumber="15" useFirstPageNumber="1" fitToHeight="4" horizontalDpi="600" verticalDpi="600" orientation="portrait" scale="92" r:id="rId1"/>
  <headerFooter alignWithMargins="0">
    <oddHeader>&amp;L&amp;9Guidelines: Strawberry U-Pick Costs&amp;R&amp;P</oddHeader>
    <oddFooter>&amp;R&amp;"Arial,Italic"&amp;9MAFRI, GO Team Branch and Crops Knowledge Centre</oddFooter>
  </headerFooter>
  <rowBreaks count="3" manualBreakCount="3">
    <brk id="42" max="8" man="1"/>
    <brk id="79" max="8" man="1"/>
    <brk id="1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Peter Blawat, P.Ag.</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Strawberry U-Pick</dc:title>
  <dc:subject>Cost of Production</dc:subject>
  <dc:creator>MAF Staff</dc:creator>
  <cp:keywords>Strawberry, strawberries, costs, economics, cost of production</cp:keywords>
  <dc:description>A worksheet for calculating on-farm production cost on individual farms.</dc:description>
  <cp:lastModifiedBy>Roy Arnott</cp:lastModifiedBy>
  <cp:lastPrinted>2012-11-20T20:44:10Z</cp:lastPrinted>
  <dcterms:created xsi:type="dcterms:W3CDTF">1998-12-01T15:32:09Z</dcterms:created>
  <dcterms:modified xsi:type="dcterms:W3CDTF">2013-05-28T21:14:58Z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