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11760" activeTab="0"/>
  </bookViews>
  <sheets>
    <sheet name="Introduction" sheetId="1" r:id="rId1"/>
    <sheet name="Summary" sheetId="2" r:id="rId2"/>
    <sheet name="Risk Analysis" sheetId="3" r:id="rId3"/>
    <sheet name="Input" sheetId="4" r:id="rId4"/>
    <sheet name="Details" sheetId="5" r:id="rId5"/>
  </sheets>
  <definedNames>
    <definedName name="\A" localSheetId="2">#REF!</definedName>
    <definedName name="\A">#REF!</definedName>
    <definedName name="\B" localSheetId="2">#REF!</definedName>
    <definedName name="\B">#REF!</definedName>
    <definedName name="\C" localSheetId="2">#REF!</definedName>
    <definedName name="\C">#N/A</definedName>
    <definedName name="\D" localSheetId="2">#REF!</definedName>
    <definedName name="\D">#N/A</definedName>
    <definedName name="\E" localSheetId="2">#REF!</definedName>
    <definedName name="\E">#REF!</definedName>
    <definedName name="\F" localSheetId="2">#REF!</definedName>
    <definedName name="\F">#REF!</definedName>
    <definedName name="\H" localSheetId="2">#REF!</definedName>
    <definedName name="\H">#N/A</definedName>
    <definedName name="\I" localSheetId="2">#REF!</definedName>
    <definedName name="\I">#N/A</definedName>
    <definedName name="\K">#N/A</definedName>
    <definedName name="\L" localSheetId="2">#REF!</definedName>
    <definedName name="\L">#REF!</definedName>
    <definedName name="\N" localSheetId="2">#REF!</definedName>
    <definedName name="\N">#N/A</definedName>
    <definedName name="\O" localSheetId="2">#REF!</definedName>
    <definedName name="\O">#REF!</definedName>
    <definedName name="\P">#N/A</definedName>
    <definedName name="\R" localSheetId="2">#REF!</definedName>
    <definedName name="\R">#REF!</definedName>
    <definedName name="\S" localSheetId="2">#REF!</definedName>
    <definedName name="\S">#N/A</definedName>
    <definedName name="\T" localSheetId="2">#REF!</definedName>
    <definedName name="\T">#REF!</definedName>
    <definedName name="\U" localSheetId="2">#REF!</definedName>
    <definedName name="\U">#REF!</definedName>
    <definedName name="\W" localSheetId="2">#REF!</definedName>
    <definedName name="\W">#N/A</definedName>
    <definedName name="\X">#N/A</definedName>
    <definedName name="\Y" localSheetId="2">#REF!</definedName>
    <definedName name="\Y">#REF!</definedName>
    <definedName name="ALL">#N/A</definedName>
    <definedName name="_xlnm.Print_Area" localSheetId="4">'Details'!$A$1:$L$566</definedName>
    <definedName name="_xlnm.Print_Area" localSheetId="0">'Introduction'!$A$1:$J$35</definedName>
    <definedName name="_xlnm.Print_Area" localSheetId="2">'Risk Analysis'!$A$1:$K$54</definedName>
    <definedName name="_xlnm.Print_Area" localSheetId="1">'Summary'!$A$1:$L$75</definedName>
    <definedName name="_xlnm.Print_Titles" localSheetId="4">'Details'!$63:$63</definedName>
  </definedNames>
  <calcPr fullCalcOnLoad="1"/>
</workbook>
</file>

<file path=xl/comments4.xml><?xml version="1.0" encoding="utf-8"?>
<comments xmlns="http://schemas.openxmlformats.org/spreadsheetml/2006/main">
  <authors>
    <author>Roy Arnott</author>
    <author>roberry</author>
  </authors>
  <commentList>
    <comment ref="H12" authorId="0">
      <text>
        <r>
          <rPr>
            <sz val="9"/>
            <rFont val="Tahoma"/>
            <family val="2"/>
          </rPr>
          <t>Optimum herd management can achieve 180 to 220%.  Less intensive management can expect lower lamb crop %.
Commercial flock with maternal ewe characteristics bred to pure bred sires (heterosis)</t>
        </r>
      </text>
    </comment>
    <comment ref="H11" authorId="0">
      <text>
        <r>
          <rPr>
            <sz val="9"/>
            <rFont val="Tahoma"/>
            <family val="2"/>
          </rPr>
          <t>Optimum herd management can utilize 1 ram per 40 ewes.  Less intensive management can expect 1 ram per 30 ewes.</t>
        </r>
      </text>
    </comment>
    <comment ref="H72" authorId="1">
      <text>
        <r>
          <rPr>
            <sz val="9"/>
            <rFont val="Tahoma"/>
            <family val="2"/>
          </rPr>
          <t>good straw</t>
        </r>
      </text>
    </comment>
    <comment ref="E55" authorId="1">
      <text>
        <r>
          <rPr>
            <sz val="9"/>
            <rFont val="Tahoma"/>
            <family val="2"/>
          </rPr>
          <t xml:space="preserve">
18 % CP
Needs ionophore</t>
        </r>
      </text>
    </comment>
  </commentList>
</comments>
</file>

<file path=xl/sharedStrings.xml><?xml version="1.0" encoding="utf-8"?>
<sst xmlns="http://schemas.openxmlformats.org/spreadsheetml/2006/main" count="1108" uniqueCount="494">
  <si>
    <t>A. Operating Costs</t>
  </si>
  <si>
    <t>Marketed</t>
  </si>
  <si>
    <t>1. Feed Costs</t>
  </si>
  <si>
    <t>1.07 Salt-Mineral Mix</t>
  </si>
  <si>
    <t>Total Feed Cost</t>
  </si>
  <si>
    <t>2. Other Operating Costs</t>
  </si>
  <si>
    <t>2.01 Straw</t>
  </si>
  <si>
    <t>2.04 Hydro, Water and Telephone</t>
  </si>
  <si>
    <t>2.05 Death Loss</t>
  </si>
  <si>
    <t>Subtotal Operating Costs</t>
  </si>
  <si>
    <t>Total Operating Costs</t>
  </si>
  <si>
    <t>B. Fixed Costs</t>
  </si>
  <si>
    <t>3. Depreciation</t>
  </si>
  <si>
    <t>4. Investment</t>
  </si>
  <si>
    <t>Total Fixed Costs</t>
  </si>
  <si>
    <t>Total Operating and Fixed Costs</t>
  </si>
  <si>
    <t>Total Cost of Production</t>
  </si>
  <si>
    <t>2. Buildings and equipment are valued at new cost.</t>
  </si>
  <si>
    <t>3. All feed is valued at fair market value.</t>
  </si>
  <si>
    <t>Total</t>
  </si>
  <si>
    <t>Buildings</t>
  </si>
  <si>
    <t>CAPITAL INVESTMENT</t>
  </si>
  <si>
    <t>Pole Barn (36' x 144') with</t>
  </si>
  <si>
    <t>Lambing/Shearing room (24' x 36')</t>
  </si>
  <si>
    <t>Wintering Lots</t>
  </si>
  <si>
    <t>Well</t>
  </si>
  <si>
    <t>Total Building Cost</t>
  </si>
  <si>
    <t>Equipment &amp; Improvements</t>
  </si>
  <si>
    <t>Water System (3 waterers &amp; installation)</t>
  </si>
  <si>
    <t>Miscellaneous Machinery &amp; Equipment:</t>
  </si>
  <si>
    <t>Total Buildings &amp; Equipment Investment</t>
  </si>
  <si>
    <t>Breeding Flock</t>
  </si>
  <si>
    <t>Total Breeding Flock Investment</t>
  </si>
  <si>
    <t>Total Capital Investment</t>
  </si>
  <si>
    <t>A</t>
  </si>
  <si>
    <t>2. Other Operating Costs:</t>
  </si>
  <si>
    <t>tonnes/ewe/year</t>
  </si>
  <si>
    <t>/tonne</t>
  </si>
  <si>
    <t>/ewe</t>
  </si>
  <si>
    <t>tonnes/ram/year</t>
  </si>
  <si>
    <t>rams</t>
  </si>
  <si>
    <t>ewes</t>
  </si>
  <si>
    <t>/lamb internal parasiticide</t>
  </si>
  <si>
    <t>/lamb miscellaneous medicine</t>
  </si>
  <si>
    <t>/lamb</t>
  </si>
  <si>
    <t>lambs</t>
  </si>
  <si>
    <t>total office expenses</t>
  </si>
  <si>
    <t>B. FIXED COSTS</t>
  </si>
  <si>
    <t>3. Depreciation:</t>
  </si>
  <si>
    <t>3.01 Buildings:</t>
  </si>
  <si>
    <t>FOR MORE INFORMATION CONTACT YOUR LOCAL MANITOBA AGRICULTURE</t>
  </si>
  <si>
    <t>OFFICE.</t>
  </si>
  <si>
    <t>If you would like to run a number of alternatives on computer, please contact your local</t>
  </si>
  <si>
    <t>Manitoba Agricultural Office.</t>
  </si>
  <si>
    <t>Budget Prepared By:</t>
  </si>
  <si>
    <t>G. A. Therrien, Chief A. M. (Tig) Shafto</t>
  </si>
  <si>
    <t>Farm Management Section Provincial Sheep Specialist</t>
  </si>
  <si>
    <t>N</t>
  </si>
  <si>
    <t>0441Im1,1 124'0 ta</t>
  </si>
  <si>
    <t xml:space="preserve">A. OPERATING COSTS </t>
  </si>
  <si>
    <t>days per year</t>
  </si>
  <si>
    <t>/tonne barley</t>
  </si>
  <si>
    <t>x</t>
  </si>
  <si>
    <t>÷</t>
  </si>
  <si>
    <t>=</t>
  </si>
  <si>
    <t>Number of Ewes</t>
  </si>
  <si>
    <t xml:space="preserve">Number of Rams </t>
  </si>
  <si>
    <t>Lamb Crop (born alive) %</t>
  </si>
  <si>
    <t xml:space="preserve">Ewe Mortality Rate (%) </t>
  </si>
  <si>
    <t>Lamb Mortality Rate - Pre-Weaning  %</t>
  </si>
  <si>
    <t>Lamb Mortality Rate - Post-Weaning %</t>
  </si>
  <si>
    <t xml:space="preserve">Lambs Marketed </t>
  </si>
  <si>
    <t>$/Ewe</t>
  </si>
  <si>
    <t xml:space="preserve">  2.01 Straw</t>
  </si>
  <si>
    <t xml:space="preserve">  2.02 Vet Medicine and Supplies</t>
  </si>
  <si>
    <t xml:space="preserve">  2.04 Hydro, Water and Telephone</t>
  </si>
  <si>
    <t xml:space="preserve">  2.05 Death Loss</t>
  </si>
  <si>
    <t xml:space="preserve">  3.01 Buildings</t>
  </si>
  <si>
    <t xml:space="preserve">  4.01 Buildings</t>
  </si>
  <si>
    <t>C. Labour</t>
  </si>
  <si>
    <t>days/year</t>
  </si>
  <si>
    <t>/ram</t>
  </si>
  <si>
    <t xml:space="preserve">/tonne alfalfa brome </t>
  </si>
  <si>
    <t>lambs weaned</t>
  </si>
  <si>
    <t>/ tonne commercial feed cost</t>
  </si>
  <si>
    <t>lambs marketed</t>
  </si>
  <si>
    <t>2.02 Veterinary Medicine &amp; Supplies</t>
  </si>
  <si>
    <t>+</t>
  </si>
  <si>
    <t>/lamb clostridial vaccine</t>
  </si>
  <si>
    <t>total medication</t>
  </si>
  <si>
    <t xml:space="preserve">Total </t>
  </si>
  <si>
    <t>subtotal operating costs</t>
  </si>
  <si>
    <t>operating interest rate</t>
  </si>
  <si>
    <t>death loss %</t>
  </si>
  <si>
    <t>bldg. &amp; equipment investment</t>
  </si>
  <si>
    <t>/$100 capital</t>
  </si>
  <si>
    <t>Building and Equipment</t>
  </si>
  <si>
    <t xml:space="preserve">Breeding Flock </t>
  </si>
  <si>
    <t>herd investment</t>
  </si>
  <si>
    <t>Additional Coverage</t>
  </si>
  <si>
    <t>additional coverage for liability</t>
  </si>
  <si>
    <t>Ewe Replacement</t>
  </si>
  <si>
    <t>Ram Replacement</t>
  </si>
  <si>
    <t>Ewes</t>
  </si>
  <si>
    <t>Lambs</t>
  </si>
  <si>
    <t>Rams</t>
  </si>
  <si>
    <t>Lamb Medication</t>
  </si>
  <si>
    <t>replacement rate</t>
  </si>
  <si>
    <t>/replacement ewe</t>
  </si>
  <si>
    <t>/cull ewe</t>
  </si>
  <si>
    <t>-</t>
  </si>
  <si>
    <t>number replaced/year</t>
  </si>
  <si>
    <t>rams replaced/year</t>
  </si>
  <si>
    <t>replacement ram value</t>
  </si>
  <si>
    <t>cull ram value</t>
  </si>
  <si>
    <t>average</t>
  </si>
  <si>
    <t>Original Value -Salvage Value</t>
  </si>
  <si>
    <t>Useful life</t>
  </si>
  <si>
    <t>original value</t>
  </si>
  <si>
    <t>salvage value</t>
  </si>
  <si>
    <t>years useful life</t>
  </si>
  <si>
    <t>Value</t>
  </si>
  <si>
    <t>Feed Requirements and Costs</t>
  </si>
  <si>
    <t>Ewe</t>
  </si>
  <si>
    <t>Days</t>
  </si>
  <si>
    <t>Price</t>
  </si>
  <si>
    <t>Ram</t>
  </si>
  <si>
    <t>Barley</t>
  </si>
  <si>
    <t>Lamb</t>
  </si>
  <si>
    <t>Creep</t>
  </si>
  <si>
    <t>Salt-Mineral Mix</t>
  </si>
  <si>
    <t>Amount</t>
  </si>
  <si>
    <t xml:space="preserve">          Hydro</t>
  </si>
  <si>
    <t xml:space="preserve">          Water</t>
  </si>
  <si>
    <t xml:space="preserve">          Telephone</t>
  </si>
  <si>
    <t xml:space="preserve">       a). Livestock</t>
  </si>
  <si>
    <t xml:space="preserve">       b). Building &amp; Equipment</t>
  </si>
  <si>
    <t xml:space="preserve">Straw Bedding </t>
  </si>
  <si>
    <t xml:space="preserve">miscellaneous </t>
  </si>
  <si>
    <t>internal parasiticide</t>
  </si>
  <si>
    <t>Veterinary Medicine &amp; Supplies</t>
  </si>
  <si>
    <t>Fuel, Maintenance &amp; Repairs</t>
  </si>
  <si>
    <t>Utilities</t>
  </si>
  <si>
    <t>Marketing &amp; Transportation</t>
  </si>
  <si>
    <t>Manure Removal</t>
  </si>
  <si>
    <t>Interest</t>
  </si>
  <si>
    <t>Insurance</t>
  </si>
  <si>
    <t>Miscellaneous</t>
  </si>
  <si>
    <t>Replacement Costs</t>
  </si>
  <si>
    <t xml:space="preserve">        Ewe replacement rate</t>
  </si>
  <si>
    <t xml:space="preserve">        Ewe replacement cost</t>
  </si>
  <si>
    <t xml:space="preserve">        Ram replacement rate</t>
  </si>
  <si>
    <t xml:space="preserve">        Ram replacement cost</t>
  </si>
  <si>
    <t xml:space="preserve">        Ram cull value</t>
  </si>
  <si>
    <t>Medication</t>
  </si>
  <si>
    <t>Professional Services</t>
  </si>
  <si>
    <t xml:space="preserve">  Lamb</t>
  </si>
  <si>
    <t>Total Yearly Hours</t>
  </si>
  <si>
    <t>Charge per Hour</t>
  </si>
  <si>
    <t>Total Kilometers (round trip)</t>
  </si>
  <si>
    <t>Charge per km</t>
  </si>
  <si>
    <t>Number of yearly visits</t>
  </si>
  <si>
    <t xml:space="preserve">  Cost per $100 Capital Invested in</t>
  </si>
  <si>
    <t xml:space="preserve">  Add'l Coverage for liability ($/year)</t>
  </si>
  <si>
    <t xml:space="preserve">  Investment Rate  (%)</t>
  </si>
  <si>
    <t xml:space="preserve">  Operating Loan  (%)</t>
  </si>
  <si>
    <t xml:space="preserve">  Acres required</t>
  </si>
  <si>
    <t xml:space="preserve">  Value per acre</t>
  </si>
  <si>
    <t xml:space="preserve">  Fence cost (per mile)</t>
  </si>
  <si>
    <t>Land Investment</t>
  </si>
  <si>
    <t>Useful</t>
  </si>
  <si>
    <t>Life</t>
  </si>
  <si>
    <t>Salvage</t>
  </si>
  <si>
    <t>Total Equipment &amp; Improvements</t>
  </si>
  <si>
    <t>3.02 Equipment &amp; Improvements</t>
  </si>
  <si>
    <t xml:space="preserve">  3.02 Equipment &amp; Improvements</t>
  </si>
  <si>
    <t xml:space="preserve">  Total Land Investment</t>
  </si>
  <si>
    <t xml:space="preserve">  Total Fence Cost</t>
  </si>
  <si>
    <t>Total Land &amp; Fence Investment</t>
  </si>
  <si>
    <t xml:space="preserve">Tractor &amp; Loader -allocated to sheep </t>
  </si>
  <si>
    <t xml:space="preserve">Truck - allocated to sheep </t>
  </si>
  <si>
    <t>Value of Ewes</t>
  </si>
  <si>
    <t>Value of Rams</t>
  </si>
  <si>
    <t>5.  Pasture Costs</t>
  </si>
  <si>
    <t>land value</t>
  </si>
  <si>
    <t>investment rate</t>
  </si>
  <si>
    <t>total taxes</t>
  </si>
  <si>
    <t>fence value</t>
  </si>
  <si>
    <t>useful life</t>
  </si>
  <si>
    <t>C.  Labour</t>
  </si>
  <si>
    <t>/hour</t>
  </si>
  <si>
    <t>Fence depreciation</t>
  </si>
  <si>
    <t xml:space="preserve">Fence investment </t>
  </si>
  <si>
    <t>Taxes</t>
  </si>
  <si>
    <t xml:space="preserve">  4.03 Breeding Flock</t>
  </si>
  <si>
    <t>5. Pasture Costs</t>
  </si>
  <si>
    <t xml:space="preserve">  Land Taxes (per acre)</t>
  </si>
  <si>
    <t>4. Interest on Investment</t>
  </si>
  <si>
    <t xml:space="preserve">                                    2</t>
  </si>
  <si>
    <r>
      <t>Original Value +Salvage Value</t>
    </r>
    <r>
      <rPr>
        <b/>
        <i/>
        <sz val="12"/>
        <rFont val="Arial"/>
        <family val="2"/>
      </rPr>
      <t xml:space="preserve">   x Investment Rate</t>
    </r>
  </si>
  <si>
    <t>4.01 Buildings:</t>
  </si>
  <si>
    <t>4.02 Equipment &amp; Improvements</t>
  </si>
  <si>
    <t>4.03 Breeding Stock</t>
  </si>
  <si>
    <t xml:space="preserve">  4.02 Equipment &amp; Improvements</t>
  </si>
  <si>
    <t>total breeding animals</t>
  </si>
  <si>
    <t>Hours per ewe</t>
  </si>
  <si>
    <t>Rate per hour</t>
  </si>
  <si>
    <t>hours/ewe</t>
  </si>
  <si>
    <t xml:space="preserve">     tonnes/ ewe</t>
  </si>
  <si>
    <t xml:space="preserve">     tonnes/ ram</t>
  </si>
  <si>
    <t>1. This budget outlines the cost of production for a sheep enterprise.</t>
  </si>
  <si>
    <t>hydro</t>
  </si>
  <si>
    <t>water</t>
  </si>
  <si>
    <t>telephone</t>
  </si>
  <si>
    <t>Other Operating Costs</t>
  </si>
  <si>
    <t xml:space="preserve">     cost/tonne</t>
  </si>
  <si>
    <t>Guidelines for Estimating</t>
  </si>
  <si>
    <t>Shearing Costs</t>
  </si>
  <si>
    <t>Predator Control</t>
  </si>
  <si>
    <t xml:space="preserve">        Years</t>
  </si>
  <si>
    <t xml:space="preserve">        Annual maintenance costs (feed, vet, etc.)</t>
  </si>
  <si>
    <t>injected vitamins</t>
  </si>
  <si>
    <t>/lamb injected vitamins</t>
  </si>
  <si>
    <t xml:space="preserve">  Ewe shearing cost ($/head)</t>
  </si>
  <si>
    <t xml:space="preserve">  Ram shearing cost ($/head)</t>
  </si>
  <si>
    <t xml:space="preserve">  Total yearly office expenses</t>
  </si>
  <si>
    <t>lambs marketed/ewe</t>
  </si>
  <si>
    <t>$/ewe</t>
  </si>
  <si>
    <t>$/ram</t>
  </si>
  <si>
    <t xml:space="preserve">years </t>
  </si>
  <si>
    <t>annual maintenance</t>
  </si>
  <si>
    <t xml:space="preserve">  Fence 7 strand electric (miles)</t>
  </si>
  <si>
    <t>Feed type</t>
  </si>
  <si>
    <t>lbs/day</t>
  </si>
  <si>
    <t>Cost</t>
  </si>
  <si>
    <t>$/tonne</t>
  </si>
  <si>
    <t>1.01 Ewe Flushing Ration</t>
  </si>
  <si>
    <t>1.02 Ewe Early to Mid Gestation Ration</t>
  </si>
  <si>
    <t xml:space="preserve">1.03 Ewe Late Gestation Ration </t>
  </si>
  <si>
    <t>lbs/tonne</t>
  </si>
  <si>
    <t>/tonne of alfalfa hay</t>
  </si>
  <si>
    <t>lbs barley/ram/day</t>
  </si>
  <si>
    <t>lbs alfalfa brome/ram/day</t>
  </si>
  <si>
    <t>lbs barley/day</t>
  </si>
  <si>
    <t>lbs alfalfa hay/day</t>
  </si>
  <si>
    <t>1.04 Ewe Lactation Ration</t>
  </si>
  <si>
    <t>Ewe Feeding Period</t>
  </si>
  <si>
    <t>Ram Feeding Period</t>
  </si>
  <si>
    <t>October 1- June 1</t>
  </si>
  <si>
    <t>1.05 Ram Ration</t>
  </si>
  <si>
    <t xml:space="preserve">  1.01 Ewe Ration</t>
  </si>
  <si>
    <t xml:space="preserve">  1.02 Ram Ration</t>
  </si>
  <si>
    <t xml:space="preserve">  1.04 Salt-Mineral Mix</t>
  </si>
  <si>
    <t>Your Cost</t>
  </si>
  <si>
    <t>$/lb</t>
  </si>
  <si>
    <t>clostridial. vaccine</t>
  </si>
  <si>
    <t>miscellaneous medicine</t>
  </si>
  <si>
    <t xml:space="preserve">Average Wool Production per animal (lbs) </t>
  </si>
  <si>
    <t xml:space="preserve">Average Value of Wool ($/lb) </t>
  </si>
  <si>
    <t>average lbs wool production</t>
  </si>
  <si>
    <t>October 1-November 1 (off pasture and flushed for breeding)</t>
  </si>
  <si>
    <t>November 1-March 1 (early to mid gestation)</t>
  </si>
  <si>
    <t>March 1-April 1 (late gestation)</t>
  </si>
  <si>
    <t>April 1-June 1 (lactation)</t>
  </si>
  <si>
    <t>2.06 Insurance</t>
  </si>
  <si>
    <t>2.07 Flock Replacement</t>
  </si>
  <si>
    <t>2.08 Marketing &amp; Transportation</t>
  </si>
  <si>
    <t>2.09 Shearing Costs</t>
  </si>
  <si>
    <t>2.10 Predator Control</t>
  </si>
  <si>
    <t xml:space="preserve">  2.06 Insurance</t>
  </si>
  <si>
    <t xml:space="preserve">  2.07 Flock Replacement</t>
  </si>
  <si>
    <t xml:space="preserve">  2.08 Marketing &amp; Transportation</t>
  </si>
  <si>
    <t xml:space="preserve">  2.09 Shearing Costs</t>
  </si>
  <si>
    <t xml:space="preserve">  2.10 Predator Control</t>
  </si>
  <si>
    <t>4. Replacements are purchased at fair market value.</t>
  </si>
  <si>
    <t>Lambs per Ewe to Market</t>
  </si>
  <si>
    <t>Number of Rams (Avg 200 lbs)</t>
  </si>
  <si>
    <t>Ewe Cull Rate (%)</t>
  </si>
  <si>
    <t>Pre-weaning</t>
  </si>
  <si>
    <t>Weaning</t>
  </si>
  <si>
    <t>Finishing</t>
  </si>
  <si>
    <t>Finisher</t>
  </si>
  <si>
    <t>Lambs (included in pre-mixed rations)</t>
  </si>
  <si>
    <t>Fed (lbs)</t>
  </si>
  <si>
    <t>RFID tag</t>
  </si>
  <si>
    <t>internal parasiticide (2x)</t>
  </si>
  <si>
    <t>internal parasiticide (1x)</t>
  </si>
  <si>
    <t xml:space="preserve">  Ewe</t>
  </si>
  <si>
    <t>Custom Trucking</t>
  </si>
  <si>
    <t>per lamb</t>
  </si>
  <si>
    <t>Commission</t>
  </si>
  <si>
    <t>Insurance - Manitoba</t>
  </si>
  <si>
    <t>Marketing Charges</t>
  </si>
  <si>
    <t>Feed on arrival/day</t>
  </si>
  <si>
    <t>lbs</t>
  </si>
  <si>
    <t xml:space="preserve">        Stock dog</t>
  </si>
  <si>
    <t>1.06 Lamb Ration</t>
  </si>
  <si>
    <t>lbs creep feed/lamb/day</t>
  </si>
  <si>
    <t>Pre Weaning Ration</t>
  </si>
  <si>
    <t>Weaning Ration</t>
  </si>
  <si>
    <t>Pre Weaning Forage</t>
  </si>
  <si>
    <t>Weaning Forage</t>
  </si>
  <si>
    <t>Finishing Ration</t>
  </si>
  <si>
    <t>Finishing Forage</t>
  </si>
  <si>
    <t>lbs salt-mineral/ewe/year</t>
  </si>
  <si>
    <t>/lb</t>
  </si>
  <si>
    <t>lbs salt-mineral/lamb/year</t>
  </si>
  <si>
    <t>lbs salt-mineral/ram/year</t>
  </si>
  <si>
    <t>(incl. in ration)</t>
  </si>
  <si>
    <t>/RFID tag</t>
  </si>
  <si>
    <t>caseous lymphadenitis</t>
  </si>
  <si>
    <t>Ewe Medication</t>
  </si>
  <si>
    <t>Ram Medication</t>
  </si>
  <si>
    <t xml:space="preserve">  1.03 Lamb Ration</t>
  </si>
  <si>
    <t xml:space="preserve">     tonnes/lamb</t>
  </si>
  <si>
    <t>tonnes/lamb/year</t>
  </si>
  <si>
    <t>ewes/ram</t>
  </si>
  <si>
    <t>trucking per lamb</t>
  </si>
  <si>
    <t>Trucking</t>
  </si>
  <si>
    <t>Commission, fees, etc.</t>
  </si>
  <si>
    <t>cost per lamb</t>
  </si>
  <si>
    <t>stock dog</t>
  </si>
  <si>
    <t>guard dog</t>
  </si>
  <si>
    <t>Shrink</t>
  </si>
  <si>
    <t>Breakeven Selling Price</t>
  </si>
  <si>
    <t>2.11 Professional Fees</t>
  </si>
  <si>
    <t>2.12 Manure Removal</t>
  </si>
  <si>
    <t xml:space="preserve">  2.11 Professional Fees</t>
  </si>
  <si>
    <t xml:space="preserve">  2.12 Manure Removal</t>
  </si>
  <si>
    <t xml:space="preserve">  2.13 Miscellaneous</t>
  </si>
  <si>
    <t xml:space="preserve">  2.14 Operating Interest</t>
  </si>
  <si>
    <t>2.13 Miscellaneous</t>
  </si>
  <si>
    <t>2.14 Operating Interest</t>
  </si>
  <si>
    <t>Total Yearly hours</t>
  </si>
  <si>
    <t>charge per hour</t>
  </si>
  <si>
    <t>Herd Veterinarian</t>
  </si>
  <si>
    <t>Vet Fees</t>
  </si>
  <si>
    <t>Mileage</t>
  </si>
  <si>
    <t>Mileage charges</t>
  </si>
  <si>
    <t>Lamb Production Costs</t>
  </si>
  <si>
    <t>Lambs (included in ration)</t>
  </si>
  <si>
    <t>Alfalfa</t>
  </si>
  <si>
    <t>Creep/grower</t>
  </si>
  <si>
    <t>injectable vitamins</t>
  </si>
  <si>
    <t xml:space="preserve">  Value per acre (Marginal pasture land)</t>
  </si>
  <si>
    <t>Labour</t>
  </si>
  <si>
    <t xml:space="preserve">        Ewe cull value </t>
  </si>
  <si>
    <t>$/Lamb</t>
  </si>
  <si>
    <t>Profitability and Breakeven Analysis</t>
  </si>
  <si>
    <t>Estimated Farmgate</t>
  </si>
  <si>
    <t/>
  </si>
  <si>
    <t>Price ($ per cwt)</t>
  </si>
  <si>
    <t xml:space="preserve">Marginal Returns </t>
  </si>
  <si>
    <t>Over Operating Costs</t>
  </si>
  <si>
    <t>Over Operating &amp; Labour Costs</t>
  </si>
  <si>
    <t>Over Operating &amp; Fixed Costs</t>
  </si>
  <si>
    <t>Over Total Costs (Net Profit)</t>
  </si>
  <si>
    <t>Operating Expense Ratio</t>
  </si>
  <si>
    <t>Operating Costs</t>
  </si>
  <si>
    <t>Operating &amp; Labour Costs</t>
  </si>
  <si>
    <t>Operating &amp; Fixed Costs</t>
  </si>
  <si>
    <t>Operating, Fixed &amp; Labour Costs</t>
  </si>
  <si>
    <t>Lamb Production Costs - Input</t>
  </si>
  <si>
    <t>Flock Profile</t>
  </si>
  <si>
    <t>Lamb Production Costs Worksheet</t>
  </si>
  <si>
    <t xml:space="preserve"> Assumptions</t>
  </si>
  <si>
    <t>Ewes (365 days @ 0.06lb/hd/day)</t>
  </si>
  <si>
    <t>Rams (365 days@ 0.06lb/hd/day)</t>
  </si>
  <si>
    <t>Total Cost</t>
  </si>
  <si>
    <t>Average Lamb Market Weight (lbs)</t>
  </si>
  <si>
    <t>Shrunk Weight (lbs)</t>
  </si>
  <si>
    <t xml:space="preserve">Ewe and Ram Mortality Rate (%) </t>
  </si>
  <si>
    <t>Roy Arnott</t>
  </si>
  <si>
    <t>Gross Revenue</t>
  </si>
  <si>
    <t>Wool Value</t>
  </si>
  <si>
    <t>Profitability and Breakeven Analysis:</t>
  </si>
  <si>
    <t>$/cwt</t>
  </si>
  <si>
    <t>Risk &amp; Sensitivity Analysis</t>
  </si>
  <si>
    <t>Total Costs</t>
  </si>
  <si>
    <t>Up</t>
  </si>
  <si>
    <t>Down</t>
  </si>
  <si>
    <t>Higher Price ($ per cwt)</t>
  </si>
  <si>
    <t>Lower Price ($ per cwt)</t>
  </si>
  <si>
    <t xml:space="preserve">   Over Operating Costs</t>
  </si>
  <si>
    <t xml:space="preserve">   Over Operating &amp; Labour Costs</t>
  </si>
  <si>
    <t xml:space="preserve">   Over Operating &amp; Fixed Costs</t>
  </si>
  <si>
    <t xml:space="preserve">   Over Total Costs (Net Profit)</t>
  </si>
  <si>
    <t>Per Ewe</t>
  </si>
  <si>
    <t>Per Lamb</t>
  </si>
  <si>
    <t>Lamb Crop %</t>
  </si>
  <si>
    <t>Lamb Price ($ per cwt)</t>
  </si>
  <si>
    <t>Market Weight (shrunk lbs.)</t>
  </si>
  <si>
    <t>Lamb Market Weight (shrunk lbs)</t>
  </si>
  <si>
    <t>Higher Lamb Weight</t>
  </si>
  <si>
    <t>Lower Lamb Weight</t>
  </si>
  <si>
    <t xml:space="preserve">Gross Revenue </t>
  </si>
  <si>
    <t>Percent Lamb Price Variation</t>
  </si>
  <si>
    <t>Percent Lamb Weight Variation</t>
  </si>
  <si>
    <t xml:space="preserve">. . . . . . . . . . . . . . . . . . . . . . . . . . . . . . . . . . . . . . . . . . . . . . . . . </t>
  </si>
  <si>
    <r>
      <t>Note:</t>
    </r>
    <r>
      <rPr>
        <sz val="10"/>
        <rFont val="Arial"/>
        <family val="2"/>
      </rPr>
      <t xml:space="preserve"> This budget is only a guide and is not intended to be an in-depth study of the cost of production of this industry. Interpretation and utilization of this information is the responsibility of the user. No liability for decisions based on this publication is assumed. </t>
    </r>
  </si>
  <si>
    <r>
      <rPr>
        <b/>
        <sz val="12"/>
        <rFont val="Arial"/>
        <family val="2"/>
      </rPr>
      <t>Note:</t>
    </r>
    <r>
      <rPr>
        <sz val="12"/>
        <rFont val="Arial"/>
        <family val="2"/>
      </rPr>
      <t xml:space="preserve"> This budget is only a guide and is not intended as an in depth study of the cost of production of this industry. Interpretation and utilization of this information is the responsibility of the user.</t>
    </r>
  </si>
  <si>
    <t>Water System (2 waterers &amp; installation)</t>
  </si>
  <si>
    <t xml:space="preserve">Created and maintained by </t>
  </si>
  <si>
    <t xml:space="preserve">For more information, contact your local </t>
  </si>
  <si>
    <t>Average Lamb Market Price ($ per cwt)</t>
  </si>
  <si>
    <t>Percent Lamb Crop Variation</t>
  </si>
  <si>
    <t>Higher Lamb Crop %</t>
  </si>
  <si>
    <t>Lower Lamb Crop %</t>
  </si>
  <si>
    <t>Lambs Marketed</t>
  </si>
  <si>
    <t xml:space="preserve">Average Lamb Market Weight (lb) </t>
  </si>
  <si>
    <t xml:space="preserve">Average Wool Production per animal (lb) </t>
  </si>
  <si>
    <t>Average Value of Wool ($/lb)</t>
  </si>
  <si>
    <t xml:space="preserve">This tool is available as an Excel worksheet at: </t>
  </si>
  <si>
    <t>or at your local</t>
  </si>
  <si>
    <t xml:space="preserve">These budgets may be adjusted by putting in your own figures.  As a producer you are encouraged to calculate your own costs of production.  Good management is assumed in that a balanced ration is being fed, and livestock are on a flock health program.  </t>
  </si>
  <si>
    <t>Benjamin Hamm</t>
  </si>
  <si>
    <t xml:space="preserve">Farm Management Specialist         </t>
  </si>
  <si>
    <t>This guide is designed to provide you with planning information and a format for calculating costs of production of a ewe lamb enterprise in Manitoba.  General Manitoba Agriculture recommendations are assumed in using feed and veterinary inputs. These figures provide an economic evaluation of the livestock and estimated prices required to cover all costs.  Costs include labour, investment and depreciation, but do not include management costs, nor do they necessarily represent the average cost of production in Manitoba.</t>
  </si>
  <si>
    <t>determine machinery costs.</t>
  </si>
  <si>
    <t xml:space="preserve">is also available to help </t>
  </si>
  <si>
    <t>Rob Berry</t>
  </si>
  <si>
    <t>Linda Fox</t>
  </si>
  <si>
    <t>Industry Development Specialist</t>
  </si>
  <si>
    <t>Farm Production Extension Specialist</t>
  </si>
  <si>
    <t>Grass hay</t>
  </si>
  <si>
    <t>Number of Ewes (Avg 170 lbs)</t>
  </si>
  <si>
    <t>Grass/alfalfa hay</t>
  </si>
  <si>
    <t>Salt-Mineral- vitamin Mix</t>
  </si>
  <si>
    <t>Canola Meal</t>
  </si>
  <si>
    <t>internal parasiticide (3x)</t>
  </si>
  <si>
    <t>October 1-November 1  (off pasture and flushed for breeding)</t>
  </si>
  <si>
    <t>November 1-March 1  (early to mid gestation)</t>
  </si>
  <si>
    <t>March 1-April 1  (late gestation)</t>
  </si>
  <si>
    <t>April 1-June 1  (lactation)</t>
  </si>
  <si>
    <t>Manager - Livestock Farm Production Extension</t>
  </si>
  <si>
    <t xml:space="preserve">Wray Whitmore </t>
  </si>
  <si>
    <t>/tonne grass hay</t>
  </si>
  <si>
    <t>lbs grass hay/day</t>
  </si>
  <si>
    <t>/tonne of grass hay</t>
  </si>
  <si>
    <t>lbs grass/alfalfa hay/day</t>
  </si>
  <si>
    <t>/tonne of grass/alfalfa hay</t>
  </si>
  <si>
    <t>lbs canola meal/day</t>
  </si>
  <si>
    <t>lbs hay/day</t>
  </si>
  <si>
    <t>/tonne of hay</t>
  </si>
  <si>
    <t>/ kWh</t>
  </si>
  <si>
    <t>kWh per ewe @</t>
  </si>
  <si>
    <t>/litre</t>
  </si>
  <si>
    <t xml:space="preserve">   Manure volume produced</t>
  </si>
  <si>
    <r>
      <t>m</t>
    </r>
    <r>
      <rPr>
        <vertAlign val="superscript"/>
        <sz val="12"/>
        <rFont val="Arial"/>
        <family val="2"/>
      </rPr>
      <t>3</t>
    </r>
    <r>
      <rPr>
        <sz val="12"/>
        <rFont val="Arial"/>
        <family val="2"/>
      </rPr>
      <t>/ewe/day</t>
    </r>
  </si>
  <si>
    <r>
      <t>ft</t>
    </r>
    <r>
      <rPr>
        <vertAlign val="superscript"/>
        <sz val="12"/>
        <rFont val="Arial"/>
        <family val="2"/>
      </rPr>
      <t>3</t>
    </r>
    <r>
      <rPr>
        <sz val="12"/>
        <rFont val="Arial"/>
        <family val="2"/>
      </rPr>
      <t>/ewe/day</t>
    </r>
  </si>
  <si>
    <t>%</t>
  </si>
  <si>
    <t xml:space="preserve">   Cost for manure removal &amp; application</t>
  </si>
  <si>
    <t>/cubic yard</t>
  </si>
  <si>
    <t>feeding days</t>
  </si>
  <si>
    <r>
      <t>m</t>
    </r>
    <r>
      <rPr>
        <vertAlign val="superscript"/>
        <sz val="12"/>
        <rFont val="Arial"/>
        <family val="2"/>
      </rPr>
      <t>3</t>
    </r>
    <r>
      <rPr>
        <sz val="12"/>
        <rFont val="Arial"/>
        <family val="2"/>
      </rPr>
      <t xml:space="preserve"> manure volume</t>
    </r>
  </si>
  <si>
    <t>% volume shrink</t>
  </si>
  <si>
    <r>
      <t>yd</t>
    </r>
    <r>
      <rPr>
        <vertAlign val="superscript"/>
        <sz val="12"/>
        <rFont val="Arial"/>
        <family val="2"/>
      </rPr>
      <t>3</t>
    </r>
    <r>
      <rPr>
        <sz val="12"/>
        <rFont val="Arial"/>
        <family val="2"/>
      </rPr>
      <t xml:space="preserve"> per m</t>
    </r>
    <r>
      <rPr>
        <vertAlign val="superscript"/>
        <sz val="12"/>
        <rFont val="Arial"/>
        <family val="2"/>
      </rPr>
      <t>3</t>
    </r>
  </si>
  <si>
    <r>
      <t>yd</t>
    </r>
    <r>
      <rPr>
        <u val="single"/>
        <vertAlign val="superscript"/>
        <sz val="12"/>
        <rFont val="Arial"/>
        <family val="2"/>
      </rPr>
      <t>3</t>
    </r>
    <r>
      <rPr>
        <u val="single"/>
        <sz val="12"/>
        <rFont val="Arial"/>
        <family val="2"/>
      </rPr>
      <t xml:space="preserve"> manure removal cost</t>
    </r>
  </si>
  <si>
    <t>Machinery fuel cost - Tractor with Loader</t>
  </si>
  <si>
    <t>PTO hp</t>
  </si>
  <si>
    <t>avg HP required</t>
  </si>
  <si>
    <t>litres fuel/hour/hp</t>
  </si>
  <si>
    <t>hours per day</t>
  </si>
  <si>
    <t>diesel / litre</t>
  </si>
  <si>
    <t>days on feed</t>
  </si>
  <si>
    <t>annual fuel cost</t>
  </si>
  <si>
    <t>Machinery repair &amp; maintenance</t>
  </si>
  <si>
    <t>machinery capital cost</t>
  </si>
  <si>
    <t>% repair rate</t>
  </si>
  <si>
    <t>oil, repairs &amp; maintenance</t>
  </si>
  <si>
    <t>Building repair &amp; maintenance</t>
  </si>
  <si>
    <t>building capital cost</t>
  </si>
  <si>
    <t>repairs &amp; maintenance</t>
  </si>
  <si>
    <t>Diesel Fuel Cost</t>
  </si>
  <si>
    <t xml:space="preserve">  a) Machinery Fuel Costs - Feeding</t>
  </si>
  <si>
    <t>Tractor with Loader PTO hp</t>
  </si>
  <si>
    <t>Tractor Hours Per Day (average)</t>
  </si>
  <si>
    <t>hours</t>
  </si>
  <si>
    <t xml:space="preserve">   b) Machinery Repair (% of investment cost)</t>
  </si>
  <si>
    <t xml:space="preserve">   c) Building  maintenance (% of investment cost)</t>
  </si>
  <si>
    <t>2.03 Fuel, Maintenance &amp; Repairs</t>
  </si>
  <si>
    <t xml:space="preserve">  2.03 Fuel, Maintenance &amp;Repairs</t>
  </si>
  <si>
    <t xml:space="preserve">        Guard dogs (2 required)</t>
  </si>
  <si>
    <t>/ each</t>
  </si>
  <si>
    <t xml:space="preserve">   Manure &amp; bedding volume shrinkage</t>
  </si>
  <si>
    <t>May, 2018</t>
  </si>
  <si>
    <r>
      <t>Note:</t>
    </r>
    <r>
      <rPr>
        <sz val="11"/>
        <rFont val="Arial"/>
        <family val="2"/>
      </rPr>
      <t xml:space="preserve"> This budget is only a guide and is not intended as an in-depth study of the cost of production of this industry. Interpretation and use of this information is the responsibility of the user.  If you need help with a budget, contact your local Manitoba Agriculture Office.</t>
    </r>
  </si>
  <si>
    <t>Return on Investment (ROI)</t>
  </si>
  <si>
    <t>Return on Asset (ROA)</t>
  </si>
  <si>
    <t xml:space="preserve">Return on Investment (ROI) = (Gross Revenue - Total Cost) / Total Cost </t>
  </si>
  <si>
    <t>clostridial (initial plus booster)</t>
  </si>
  <si>
    <t>clostridial (annually $/shot)</t>
  </si>
  <si>
    <t>Caseous Lymphadenitis (annually @ $/shot)</t>
  </si>
  <si>
    <t>clostridial (annually @ $/shot)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</si>
</sst>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Red]\ \(&quot;$&quot;#,##0.00\)"/>
    <numFmt numFmtId="165" formatCode="&quot;$&quot;#,##0.00"/>
    <numFmt numFmtId="166" formatCode="&quot;$&quot;#,##0"/>
    <numFmt numFmtId="167" formatCode="0.0%"/>
    <numFmt numFmtId="168" formatCode="&quot;$&quot;#,##0.00_);[Red]\(&quot;$&quot;#,##0.00\)"/>
    <numFmt numFmtId="169" formatCode="&quot;$&quot;#,##0_);\(&quot;$&quot;#,##0\)"/>
    <numFmt numFmtId="170" formatCode="&quot;$&quot;#,##0_);[Red]\(&quot;$&quot;#,##0\)"/>
    <numFmt numFmtId="171" formatCode="&quot;$&quot;#,##0.00_);\(&quot;$&quot;#,##0.00\)"/>
    <numFmt numFmtId="172" formatCode="&quot;$&quot;#,##0;[Red]&quot;$&quot;#,##0"/>
    <numFmt numFmtId="173" formatCode="#,##0.00_ ;\-#,##0.00\ "/>
    <numFmt numFmtId="174" formatCode="#,##0_ ;\-#,##0\ "/>
    <numFmt numFmtId="175" formatCode="#,##0.0_ ;\-#,##0.0\ "/>
    <numFmt numFmtId="176" formatCode="0.0%;\(0.0%\)"/>
    <numFmt numFmtId="177" formatCode="#,##0.0_);[Red]\(#,##0.0\)"/>
    <numFmt numFmtId="178" formatCode="_-&quot;£&quot;* #,##0_-;\-&quot;£&quot;* #,##0_-;_-&quot;£&quot;* &quot;-&quot;_-;_-@_-"/>
    <numFmt numFmtId="179" formatCode="_-&quot;£&quot;* #,##0.00_-;\-&quot;£&quot;* #,##0.00_-;_-&quot;£&quot;* &quot;-&quot;??_-;_-@_-"/>
    <numFmt numFmtId="180" formatCode="0.0"/>
    <numFmt numFmtId="181" formatCode="&quot;$&quot;#,##0.0000;[Red]\-&quot;$&quot;#,##0.0000"/>
    <numFmt numFmtId="182" formatCode="#,##0.00000"/>
    <numFmt numFmtId="183" formatCode="#,##0.000"/>
    <numFmt numFmtId="184" formatCode="#,##0.0"/>
    <numFmt numFmtId="185" formatCode="#,##0.0000000"/>
    <numFmt numFmtId="186" formatCode="&quot;$&quot;#,##0.00000;[Red]&quot;$&quot;#,##0.00000"/>
    <numFmt numFmtId="187" formatCode="0.00%;[Red]\(0.00%\)"/>
    <numFmt numFmtId="188" formatCode="0.0%;[Red]\(0.0%\)"/>
  </numFmts>
  <fonts count="88">
    <font>
      <sz val="10"/>
      <name val="Helv"/>
      <family val="0"/>
    </font>
    <font>
      <sz val="11"/>
      <color indexed="8"/>
      <name val="Calibri"/>
      <family val="2"/>
    </font>
    <font>
      <b/>
      <sz val="12"/>
      <name val="Arial"/>
      <family val="2"/>
    </font>
    <font>
      <sz val="12"/>
      <name val="Arial"/>
      <family val="2"/>
    </font>
    <font>
      <i/>
      <sz val="12"/>
      <name val="Arial"/>
      <family val="2"/>
    </font>
    <font>
      <b/>
      <sz val="14"/>
      <name val="Arial"/>
      <family val="2"/>
    </font>
    <font>
      <b/>
      <u val="single"/>
      <sz val="12"/>
      <name val="Arial"/>
      <family val="2"/>
    </font>
    <font>
      <u val="single"/>
      <sz val="12"/>
      <name val="Arial"/>
      <family val="2"/>
    </font>
    <font>
      <b/>
      <i/>
      <u val="single"/>
      <sz val="12"/>
      <name val="Arial"/>
      <family val="2"/>
    </font>
    <font>
      <b/>
      <i/>
      <sz val="12"/>
      <name val="Arial"/>
      <family val="2"/>
    </font>
    <font>
      <b/>
      <u val="single"/>
      <sz val="14"/>
      <name val="Arial"/>
      <family val="2"/>
    </font>
    <font>
      <sz val="14"/>
      <name val="Arial"/>
      <family val="2"/>
    </font>
    <font>
      <b/>
      <sz val="10"/>
      <color indexed="12"/>
      <name val="Helv"/>
      <family val="0"/>
    </font>
    <font>
      <b/>
      <sz val="10"/>
      <color indexed="12"/>
      <name val="Arial"/>
      <family val="2"/>
    </font>
    <font>
      <b/>
      <sz val="12"/>
      <color indexed="12"/>
      <name val="Arial"/>
      <family val="2"/>
    </font>
    <font>
      <u val="single"/>
      <sz val="14"/>
      <name val="Arial"/>
      <family val="2"/>
    </font>
    <font>
      <b/>
      <u val="single"/>
      <sz val="12"/>
      <color indexed="12"/>
      <name val="Arial"/>
      <family val="2"/>
    </font>
    <font>
      <b/>
      <sz val="10"/>
      <name val="Arial"/>
      <family val="2"/>
    </font>
    <font>
      <sz val="10"/>
      <name val="Arial"/>
      <family val="2"/>
    </font>
    <font>
      <u val="single"/>
      <sz val="10"/>
      <name val="Arial"/>
      <family val="2"/>
    </font>
    <font>
      <b/>
      <i/>
      <u val="single"/>
      <sz val="10"/>
      <name val="Arial"/>
      <family val="2"/>
    </font>
    <font>
      <b/>
      <i/>
      <sz val="10"/>
      <name val="Arial"/>
      <family val="2"/>
    </font>
    <font>
      <sz val="11"/>
      <name val="Arial"/>
      <family val="2"/>
    </font>
    <font>
      <b/>
      <sz val="11"/>
      <name val="Arial"/>
      <family val="2"/>
    </font>
    <font>
      <sz val="10"/>
      <color indexed="12"/>
      <name val="Arial"/>
      <family val="2"/>
    </font>
    <font>
      <sz val="22"/>
      <name val="Arial"/>
      <family val="2"/>
    </font>
    <font>
      <sz val="9"/>
      <name val="Tahoma"/>
      <family val="2"/>
    </font>
    <font>
      <u val="single"/>
      <sz val="10"/>
      <name val="Helv"/>
      <family val="0"/>
    </font>
    <font>
      <vertAlign val="superscript"/>
      <sz val="12"/>
      <name val="Arial"/>
      <family val="2"/>
    </font>
    <font>
      <u val="single"/>
      <vertAlign val="superscrip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sz val="12"/>
      <color indexed="8"/>
      <name val="Arial"/>
      <family val="2"/>
    </font>
    <font>
      <b/>
      <sz val="10"/>
      <color indexed="8"/>
      <name val="Arial"/>
      <family val="2"/>
    </font>
    <font>
      <b/>
      <u val="single"/>
      <sz val="11"/>
      <color indexed="12"/>
      <name val="Arial"/>
      <family val="2"/>
    </font>
    <font>
      <sz val="16"/>
      <color indexed="18"/>
      <name val="Arial"/>
      <family val="2"/>
    </font>
    <font>
      <b/>
      <sz val="20"/>
      <color indexed="18"/>
      <name val="Arial"/>
      <family val="2"/>
    </font>
    <font>
      <b/>
      <sz val="14"/>
      <color indexed="9"/>
      <name val="Arial"/>
      <family val="2"/>
    </font>
    <font>
      <b/>
      <sz val="12"/>
      <color indexed="9"/>
      <name val="Arial"/>
      <family val="2"/>
    </font>
    <font>
      <sz val="10"/>
      <color indexed="9"/>
      <name val="Arial"/>
      <family val="2"/>
    </font>
    <font>
      <b/>
      <i/>
      <u val="single"/>
      <sz val="12"/>
      <color indexed="12"/>
      <name val="Arial"/>
      <family val="0"/>
    </font>
    <font>
      <b/>
      <u val="single"/>
      <sz val="14"/>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2"/>
      <color rgb="FF0000FF"/>
      <name val="Arial"/>
      <family val="2"/>
    </font>
    <font>
      <b/>
      <u val="single"/>
      <sz val="12"/>
      <color rgb="FF0000FF"/>
      <name val="Arial"/>
      <family val="2"/>
    </font>
    <font>
      <b/>
      <sz val="12"/>
      <color theme="1"/>
      <name val="Arial"/>
      <family val="2"/>
    </font>
    <font>
      <b/>
      <sz val="10"/>
      <color theme="1"/>
      <name val="Arial"/>
      <family val="2"/>
    </font>
    <font>
      <b/>
      <u val="single"/>
      <sz val="11"/>
      <color theme="10"/>
      <name val="Arial"/>
      <family val="2"/>
    </font>
    <font>
      <sz val="16"/>
      <color rgb="FF003399"/>
      <name val="Arial"/>
      <family val="2"/>
    </font>
    <font>
      <b/>
      <sz val="20"/>
      <color rgb="FF003399"/>
      <name val="Arial"/>
      <family val="2"/>
    </font>
    <font>
      <b/>
      <sz val="14"/>
      <color theme="0"/>
      <name val="Arial"/>
      <family val="2"/>
    </font>
    <font>
      <b/>
      <sz val="12"/>
      <color theme="0"/>
      <name val="Arial"/>
      <family val="2"/>
    </font>
    <font>
      <sz val="10"/>
      <color theme="0"/>
      <name val="Arial"/>
      <family val="2"/>
    </font>
    <font>
      <b/>
      <sz val="8"/>
      <name val="Helv"/>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0" tint="-0.24993999302387238"/>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ouble"/>
    </border>
    <border>
      <left style="thin"/>
      <right style="thin"/>
      <top style="thin"/>
      <bottom style="thin"/>
    </border>
    <border>
      <left/>
      <right/>
      <top style="double"/>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3" fillId="0" borderId="0">
      <alignment/>
      <protection/>
    </xf>
    <xf numFmtId="170" fontId="14" fillId="0" borderId="0">
      <alignment/>
      <protection locked="0"/>
    </xf>
    <xf numFmtId="168" fontId="3" fillId="0" borderId="0">
      <alignment/>
      <protection/>
    </xf>
    <xf numFmtId="168" fontId="14" fillId="0" borderId="0">
      <alignment/>
      <protection locked="0"/>
    </xf>
    <xf numFmtId="38" fontId="3" fillId="0" borderId="0">
      <alignment/>
      <protection/>
    </xf>
    <xf numFmtId="38" fontId="14" fillId="0" borderId="0">
      <alignment/>
      <protection locked="0"/>
    </xf>
    <xf numFmtId="177" fontId="3" fillId="0" borderId="0">
      <alignment/>
      <protection/>
    </xf>
    <xf numFmtId="177" fontId="14" fillId="0" borderId="0">
      <alignment/>
      <protection locked="0"/>
    </xf>
    <xf numFmtId="40" fontId="3" fillId="0" borderId="0">
      <alignment/>
      <protection/>
    </xf>
    <xf numFmtId="40" fontId="14"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3" fillId="0" borderId="0">
      <alignment vertical="top"/>
      <protection/>
    </xf>
    <xf numFmtId="0" fontId="18" fillId="0" borderId="0">
      <alignment vertical="top"/>
      <protection/>
    </xf>
    <xf numFmtId="165" fontId="3" fillId="0" borderId="0">
      <alignment vertical="top"/>
      <protection/>
    </xf>
    <xf numFmtId="0" fontId="0" fillId="32" borderId="7" applyNumberFormat="0" applyFont="0" applyAlignment="0" applyProtection="0"/>
    <xf numFmtId="38" fontId="18" fillId="33" borderId="8">
      <alignment/>
      <protection/>
    </xf>
    <xf numFmtId="38" fontId="24" fillId="0" borderId="8">
      <alignment/>
      <protection locked="0"/>
    </xf>
    <xf numFmtId="177" fontId="18" fillId="34" borderId="8">
      <alignment/>
      <protection/>
    </xf>
    <xf numFmtId="177" fontId="24" fillId="0" borderId="8">
      <alignment/>
      <protection locked="0"/>
    </xf>
    <xf numFmtId="40" fontId="18" fillId="34" borderId="8">
      <alignment/>
      <protection/>
    </xf>
    <xf numFmtId="40" fontId="24" fillId="0" borderId="8">
      <alignment/>
      <protection locked="0"/>
    </xf>
    <xf numFmtId="0" fontId="72" fillId="27" borderId="9" applyNumberFormat="0" applyAlignment="0" applyProtection="0"/>
    <xf numFmtId="9" fontId="0" fillId="0" borderId="0" applyFont="0" applyFill="0" applyBorder="0" applyAlignment="0" applyProtection="0"/>
    <xf numFmtId="10" fontId="3" fillId="0" borderId="0">
      <alignment/>
      <protection/>
    </xf>
    <xf numFmtId="10" fontId="24" fillId="35" borderId="8">
      <alignment/>
      <protection locked="0"/>
    </xf>
    <xf numFmtId="0" fontId="18" fillId="36" borderId="0">
      <alignment/>
      <protection/>
    </xf>
    <xf numFmtId="0" fontId="73" fillId="0" borderId="0" applyNumberFormat="0" applyFill="0" applyBorder="0" applyAlignment="0" applyProtection="0"/>
    <xf numFmtId="0" fontId="74" fillId="0" borderId="10" applyNumberFormat="0" applyFill="0" applyAlignment="0" applyProtection="0"/>
    <xf numFmtId="178" fontId="18" fillId="0" borderId="0" applyFont="0" applyFill="0" applyBorder="0" applyAlignment="0" applyProtection="0"/>
    <xf numFmtId="179" fontId="18" fillId="0" borderId="0" applyFont="0" applyFill="0" applyBorder="0" applyAlignment="0" applyProtection="0"/>
    <xf numFmtId="0" fontId="75" fillId="0" borderId="0" applyNumberFormat="0" applyFill="0" applyBorder="0" applyAlignment="0" applyProtection="0"/>
  </cellStyleXfs>
  <cellXfs count="395">
    <xf numFmtId="0" fontId="0" fillId="0" borderId="0" xfId="0" applyAlignment="1">
      <alignment/>
    </xf>
    <xf numFmtId="0" fontId="2" fillId="0" borderId="0" xfId="0" applyNumberFormat="1" applyFont="1" applyAlignment="1">
      <alignment horizontal="left"/>
    </xf>
    <xf numFmtId="0" fontId="3" fillId="0" borderId="0" xfId="0" applyFont="1" applyAlignment="1">
      <alignment/>
    </xf>
    <xf numFmtId="0" fontId="3" fillId="0" borderId="0" xfId="0" applyNumberFormat="1" applyFont="1" applyAlignment="1">
      <alignment horizontal="left"/>
    </xf>
    <xf numFmtId="164" fontId="3" fillId="0" borderId="0" xfId="0" applyNumberFormat="1" applyFont="1" applyAlignment="1">
      <alignment horizontal="right"/>
    </xf>
    <xf numFmtId="2" fontId="3" fillId="0" borderId="0" xfId="0" applyNumberFormat="1" applyFont="1" applyAlignment="1">
      <alignment horizontal="right"/>
    </xf>
    <xf numFmtId="164" fontId="2" fillId="0" borderId="0" xfId="0" applyNumberFormat="1" applyFont="1" applyAlignment="1">
      <alignment horizontal="right"/>
    </xf>
    <xf numFmtId="165" fontId="2" fillId="0" borderId="0" xfId="0" applyNumberFormat="1" applyFont="1" applyAlignment="1">
      <alignment/>
    </xf>
    <xf numFmtId="0" fontId="3" fillId="0" borderId="0" xfId="0" applyNumberFormat="1" applyFont="1" applyAlignment="1">
      <alignment horizontal="right"/>
    </xf>
    <xf numFmtId="0" fontId="4" fillId="0" borderId="0" xfId="0" applyNumberFormat="1" applyFont="1" applyAlignment="1">
      <alignment horizontal="left"/>
    </xf>
    <xf numFmtId="0" fontId="2" fillId="0" borderId="0" xfId="0" applyNumberFormat="1" applyFont="1" applyAlignment="1">
      <alignment horizontal="right"/>
    </xf>
    <xf numFmtId="0" fontId="4" fillId="0" borderId="0" xfId="0" applyNumberFormat="1" applyFont="1" applyAlignment="1">
      <alignment horizontal="right"/>
    </xf>
    <xf numFmtId="165" fontId="3" fillId="0" borderId="0" xfId="0" applyNumberFormat="1" applyFont="1" applyAlignment="1">
      <alignment/>
    </xf>
    <xf numFmtId="165" fontId="3" fillId="0" borderId="0" xfId="0" applyNumberFormat="1"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166" fontId="3" fillId="0" borderId="0" xfId="0" applyNumberFormat="1" applyFont="1" applyAlignment="1">
      <alignment horizontal="right"/>
    </xf>
    <xf numFmtId="166" fontId="2" fillId="0" borderId="0" xfId="0" applyNumberFormat="1" applyFont="1" applyAlignment="1">
      <alignment horizontal="right"/>
    </xf>
    <xf numFmtId="166" fontId="7" fillId="0" borderId="0" xfId="0" applyNumberFormat="1" applyFont="1" applyAlignment="1">
      <alignment horizontal="right"/>
    </xf>
    <xf numFmtId="0" fontId="6" fillId="0" borderId="0" xfId="0" applyNumberFormat="1" applyFont="1" applyAlignment="1">
      <alignment horizontal="center"/>
    </xf>
    <xf numFmtId="0" fontId="2" fillId="0" borderId="0" xfId="0" applyFont="1" applyAlignment="1">
      <alignment/>
    </xf>
    <xf numFmtId="0" fontId="7" fillId="0" borderId="0" xfId="0" applyFont="1" applyAlignment="1">
      <alignment/>
    </xf>
    <xf numFmtId="0" fontId="7" fillId="0" borderId="0" xfId="0" applyNumberFormat="1" applyFont="1" applyAlignment="1">
      <alignment/>
    </xf>
    <xf numFmtId="0" fontId="7" fillId="0" borderId="0" xfId="0" applyNumberFormat="1" applyFont="1" applyAlignment="1">
      <alignment horizontal="left"/>
    </xf>
    <xf numFmtId="0" fontId="3" fillId="0" borderId="0" xfId="0" applyFont="1" applyAlignment="1" quotePrefix="1">
      <alignment/>
    </xf>
    <xf numFmtId="0" fontId="3" fillId="0" borderId="0" xfId="0" applyNumberFormat="1" applyFont="1" applyAlignment="1" quotePrefix="1">
      <alignment horizontal="left"/>
    </xf>
    <xf numFmtId="165" fontId="7" fillId="0" borderId="0" xfId="0" applyNumberFormat="1" applyFont="1" applyAlignment="1">
      <alignment/>
    </xf>
    <xf numFmtId="165" fontId="3" fillId="0" borderId="0" xfId="0" applyNumberFormat="1" applyFont="1" applyAlignment="1">
      <alignment horizontal="right"/>
    </xf>
    <xf numFmtId="0" fontId="7" fillId="0" borderId="0" xfId="0" applyFont="1" applyAlignment="1" quotePrefix="1">
      <alignment/>
    </xf>
    <xf numFmtId="164" fontId="7" fillId="0" borderId="0" xfId="0" applyNumberFormat="1" applyFont="1" applyAlignment="1">
      <alignment horizontal="right"/>
    </xf>
    <xf numFmtId="166" fontId="3" fillId="0" borderId="0" xfId="0" applyNumberFormat="1" applyFont="1" applyAlignment="1">
      <alignment/>
    </xf>
    <xf numFmtId="166" fontId="7" fillId="0" borderId="0" xfId="0" applyNumberFormat="1" applyFont="1" applyAlignment="1">
      <alignment/>
    </xf>
    <xf numFmtId="0" fontId="2" fillId="0" borderId="0" xfId="0" applyFont="1" applyAlignment="1" quotePrefix="1">
      <alignment/>
    </xf>
    <xf numFmtId="165" fontId="2" fillId="0" borderId="0" xfId="0" applyNumberFormat="1" applyFont="1" applyAlignment="1">
      <alignment/>
    </xf>
    <xf numFmtId="0" fontId="6" fillId="0" borderId="0" xfId="0" applyFont="1" applyAlignment="1">
      <alignment/>
    </xf>
    <xf numFmtId="0" fontId="6" fillId="0" borderId="0" xfId="0" applyFont="1" applyAlignment="1">
      <alignment horizontal="center"/>
    </xf>
    <xf numFmtId="0" fontId="2" fillId="0" borderId="0" xfId="0" applyFont="1" applyAlignment="1">
      <alignment horizontal="right"/>
    </xf>
    <xf numFmtId="0" fontId="6" fillId="0" borderId="0" xfId="0" applyFont="1" applyAlignment="1">
      <alignment horizontal="right"/>
    </xf>
    <xf numFmtId="0" fontId="2" fillId="0" borderId="0" xfId="0" applyNumberFormat="1" applyFont="1" applyAlignment="1">
      <alignment horizontal="center"/>
    </xf>
    <xf numFmtId="0" fontId="2" fillId="0" borderId="0" xfId="0" applyFont="1" applyAlignment="1">
      <alignment horizontal="center"/>
    </xf>
    <xf numFmtId="8" fontId="3" fillId="0" borderId="0" xfId="0" applyNumberFormat="1" applyFont="1" applyAlignment="1">
      <alignment/>
    </xf>
    <xf numFmtId="0" fontId="3" fillId="0" borderId="0" xfId="0" applyFont="1" applyBorder="1" applyAlignment="1">
      <alignment/>
    </xf>
    <xf numFmtId="167" fontId="3" fillId="0" borderId="0" xfId="0" applyNumberFormat="1" applyFont="1" applyAlignment="1">
      <alignment/>
    </xf>
    <xf numFmtId="166" fontId="2" fillId="0" borderId="0" xfId="0" applyNumberFormat="1" applyFont="1" applyAlignment="1">
      <alignment/>
    </xf>
    <xf numFmtId="1" fontId="3" fillId="0" borderId="0" xfId="0" applyNumberFormat="1" applyFont="1" applyAlignment="1">
      <alignment/>
    </xf>
    <xf numFmtId="0" fontId="3" fillId="0" borderId="11" xfId="0" applyFont="1" applyBorder="1" applyAlignment="1">
      <alignment/>
    </xf>
    <xf numFmtId="0" fontId="10" fillId="0" borderId="0" xfId="0" applyFont="1" applyAlignment="1">
      <alignment horizontal="center"/>
    </xf>
    <xf numFmtId="165" fontId="7" fillId="0" borderId="0" xfId="0" applyNumberFormat="1" applyFont="1" applyAlignment="1">
      <alignment horizontal="right"/>
    </xf>
    <xf numFmtId="0" fontId="3" fillId="0" borderId="0" xfId="0" applyFont="1" applyAlignment="1">
      <alignment/>
    </xf>
    <xf numFmtId="0" fontId="2" fillId="0" borderId="0" xfId="0" applyFont="1" applyAlignment="1">
      <alignment/>
    </xf>
    <xf numFmtId="0" fontId="6" fillId="0" borderId="0" xfId="0" applyFont="1" applyAlignment="1">
      <alignment/>
    </xf>
    <xf numFmtId="0" fontId="3" fillId="0" borderId="12" xfId="0" applyFont="1" applyBorder="1" applyAlignment="1">
      <alignment/>
    </xf>
    <xf numFmtId="0" fontId="6" fillId="0" borderId="0" xfId="0" applyFont="1" applyAlignment="1">
      <alignment horizontal="left"/>
    </xf>
    <xf numFmtId="0" fontId="2" fillId="0" borderId="0" xfId="0" applyFont="1" applyAlignment="1">
      <alignment horizontal="left"/>
    </xf>
    <xf numFmtId="0" fontId="15" fillId="0" borderId="0" xfId="0" applyFont="1" applyAlignment="1">
      <alignment horizontal="center"/>
    </xf>
    <xf numFmtId="166" fontId="14" fillId="0" borderId="0" xfId="0" applyNumberFormat="1" applyFont="1" applyAlignment="1" applyProtection="1">
      <alignment horizontal="right"/>
      <protection locked="0"/>
    </xf>
    <xf numFmtId="0" fontId="14" fillId="0" borderId="0" xfId="0" applyFont="1" applyAlignment="1" applyProtection="1">
      <alignment/>
      <protection locked="0"/>
    </xf>
    <xf numFmtId="165" fontId="14" fillId="0" borderId="0" xfId="0" applyNumberFormat="1" applyFont="1" applyAlignment="1" applyProtection="1">
      <alignment/>
      <protection locked="0"/>
    </xf>
    <xf numFmtId="1" fontId="14" fillId="0" borderId="0" xfId="0" applyNumberFormat="1" applyFont="1" applyAlignment="1" applyProtection="1">
      <alignment/>
      <protection locked="0"/>
    </xf>
    <xf numFmtId="0" fontId="14" fillId="0" borderId="0" xfId="0" applyFont="1" applyAlignment="1" applyProtection="1">
      <alignment/>
      <protection locked="0"/>
    </xf>
    <xf numFmtId="0" fontId="3" fillId="0" borderId="0" xfId="0" applyFont="1" applyAlignment="1" applyProtection="1">
      <alignment/>
      <protection locked="0"/>
    </xf>
    <xf numFmtId="0" fontId="6" fillId="0" borderId="0" xfId="0" applyFont="1" applyAlignment="1" applyProtection="1">
      <alignment horizontal="right"/>
      <protection locked="0"/>
    </xf>
    <xf numFmtId="0" fontId="2" fillId="0" borderId="0" xfId="0" applyFont="1" applyAlignment="1" applyProtection="1">
      <alignment horizontal="center"/>
      <protection locked="0"/>
    </xf>
    <xf numFmtId="0" fontId="6" fillId="0" borderId="0" xfId="0" applyFont="1" applyAlignment="1" applyProtection="1">
      <alignment horizontal="center"/>
      <protection locked="0"/>
    </xf>
    <xf numFmtId="2" fontId="14" fillId="0" borderId="0" xfId="0" applyNumberFormat="1" applyFont="1" applyAlignment="1" applyProtection="1">
      <alignment/>
      <protection locked="0"/>
    </xf>
    <xf numFmtId="8" fontId="14" fillId="0" borderId="0" xfId="0" applyNumberFormat="1" applyFont="1" applyAlignment="1" applyProtection="1">
      <alignment/>
      <protection locked="0"/>
    </xf>
    <xf numFmtId="167" fontId="14" fillId="0" borderId="0" xfId="0" applyNumberFormat="1" applyFont="1" applyAlignment="1" applyProtection="1">
      <alignment/>
      <protection locked="0"/>
    </xf>
    <xf numFmtId="2" fontId="7" fillId="0" borderId="0" xfId="0" applyNumberFormat="1" applyFont="1" applyAlignment="1">
      <alignment horizontal="right"/>
    </xf>
    <xf numFmtId="165" fontId="2" fillId="0" borderId="0" xfId="0" applyNumberFormat="1" applyFont="1" applyAlignment="1">
      <alignment horizontal="right"/>
    </xf>
    <xf numFmtId="165" fontId="6" fillId="0" borderId="0" xfId="0" applyNumberFormat="1" applyFont="1" applyAlignment="1">
      <alignment/>
    </xf>
    <xf numFmtId="166" fontId="6" fillId="0" borderId="0" xfId="0" applyNumberFormat="1" applyFont="1" applyAlignment="1">
      <alignment/>
    </xf>
    <xf numFmtId="0" fontId="14" fillId="0" borderId="0" xfId="0" applyFont="1" applyAlignment="1">
      <alignment/>
    </xf>
    <xf numFmtId="167" fontId="14" fillId="0" borderId="0" xfId="0" applyNumberFormat="1" applyFont="1" applyAlignment="1">
      <alignment/>
    </xf>
    <xf numFmtId="44" fontId="3" fillId="0" borderId="0" xfId="54" applyFont="1" applyAlignment="1">
      <alignment/>
    </xf>
    <xf numFmtId="0" fontId="2" fillId="0" borderId="0" xfId="0" applyNumberFormat="1" applyFont="1" applyFill="1" applyAlignment="1">
      <alignment horizontal="left"/>
    </xf>
    <xf numFmtId="3" fontId="2" fillId="0" borderId="0" xfId="0" applyNumberFormat="1" applyFont="1" applyAlignment="1" applyProtection="1">
      <alignment/>
      <protection/>
    </xf>
    <xf numFmtId="3" fontId="3" fillId="0" borderId="0" xfId="0" applyNumberFormat="1" applyFont="1" applyAlignment="1" applyProtection="1">
      <alignment/>
      <protection/>
    </xf>
    <xf numFmtId="3" fontId="11" fillId="0" borderId="0" xfId="0" applyNumberFormat="1" applyFont="1" applyAlignment="1">
      <alignment/>
    </xf>
    <xf numFmtId="3" fontId="2" fillId="0" borderId="0" xfId="0" applyNumberFormat="1" applyFont="1" applyAlignment="1" applyProtection="1">
      <alignment horizontal="center"/>
      <protection/>
    </xf>
    <xf numFmtId="3" fontId="3" fillId="0" borderId="11" xfId="0" applyNumberFormat="1" applyFont="1" applyBorder="1" applyAlignment="1" applyProtection="1">
      <alignment/>
      <protection/>
    </xf>
    <xf numFmtId="169" fontId="3" fillId="0" borderId="0" xfId="0" applyNumberFormat="1" applyFont="1" applyAlignment="1" applyProtection="1">
      <alignment/>
      <protection/>
    </xf>
    <xf numFmtId="3" fontId="3" fillId="0" borderId="12" xfId="0" applyNumberFormat="1" applyFont="1" applyBorder="1" applyAlignment="1" applyProtection="1">
      <alignment/>
      <protection/>
    </xf>
    <xf numFmtId="0" fontId="2" fillId="0" borderId="11" xfId="0" applyFont="1" applyBorder="1" applyAlignment="1">
      <alignment/>
    </xf>
    <xf numFmtId="0" fontId="76" fillId="0" borderId="0" xfId="0" applyFont="1" applyAlignment="1" applyProtection="1">
      <alignment/>
      <protection locked="0"/>
    </xf>
    <xf numFmtId="0" fontId="5" fillId="0" borderId="0" xfId="0" applyNumberFormat="1" applyFont="1" applyAlignment="1">
      <alignment horizontal="center"/>
    </xf>
    <xf numFmtId="3" fontId="3" fillId="0" borderId="13" xfId="0" applyNumberFormat="1" applyFont="1" applyBorder="1" applyAlignment="1" applyProtection="1">
      <alignment/>
      <protection/>
    </xf>
    <xf numFmtId="170" fontId="2" fillId="0" borderId="13" xfId="44" applyFont="1" applyBorder="1">
      <alignment/>
      <protection/>
    </xf>
    <xf numFmtId="3" fontId="3" fillId="0" borderId="0" xfId="0" applyNumberFormat="1" applyFont="1" applyBorder="1" applyAlignment="1" applyProtection="1">
      <alignment/>
      <protection/>
    </xf>
    <xf numFmtId="3" fontId="2" fillId="0" borderId="0" xfId="0" applyNumberFormat="1" applyFont="1" applyBorder="1" applyAlignment="1" applyProtection="1">
      <alignment/>
      <protection/>
    </xf>
    <xf numFmtId="3" fontId="7" fillId="0" borderId="0" xfId="0" applyNumberFormat="1" applyFont="1" applyAlignment="1" applyProtection="1">
      <alignment/>
      <protection/>
    </xf>
    <xf numFmtId="169" fontId="6" fillId="0" borderId="0" xfId="0" applyNumberFormat="1" applyFont="1" applyBorder="1" applyAlignment="1" applyProtection="1">
      <alignment horizontal="right"/>
      <protection/>
    </xf>
    <xf numFmtId="3" fontId="2" fillId="0" borderId="0" xfId="0" applyNumberFormat="1" applyFont="1" applyBorder="1" applyAlignment="1" applyProtection="1">
      <alignment horizontal="right"/>
      <protection/>
    </xf>
    <xf numFmtId="165" fontId="2" fillId="0" borderId="0" xfId="0" applyNumberFormat="1" applyFont="1" applyBorder="1" applyAlignment="1" applyProtection="1">
      <alignment/>
      <protection/>
    </xf>
    <xf numFmtId="166" fontId="2" fillId="0" borderId="0" xfId="48" applyNumberFormat="1" applyFont="1">
      <alignment/>
      <protection/>
    </xf>
    <xf numFmtId="3" fontId="2" fillId="0" borderId="0" xfId="0" applyNumberFormat="1" applyFont="1" applyAlignment="1">
      <alignment/>
    </xf>
    <xf numFmtId="171" fontId="2" fillId="0" borderId="0" xfId="0" applyNumberFormat="1" applyFont="1" applyBorder="1" applyAlignment="1" applyProtection="1">
      <alignment/>
      <protection/>
    </xf>
    <xf numFmtId="169" fontId="2" fillId="0" borderId="0" xfId="48" applyNumberFormat="1" applyFont="1">
      <alignment/>
      <protection/>
    </xf>
    <xf numFmtId="167" fontId="2" fillId="0" borderId="0" xfId="0" applyNumberFormat="1" applyFont="1" applyAlignment="1">
      <alignment/>
    </xf>
    <xf numFmtId="171" fontId="3" fillId="0" borderId="0" xfId="54" applyNumberFormat="1" applyFont="1" applyAlignment="1">
      <alignment horizontal="center" vertical="justify"/>
    </xf>
    <xf numFmtId="3" fontId="11" fillId="0" borderId="13" xfId="0" applyNumberFormat="1" applyFont="1" applyBorder="1" applyAlignment="1">
      <alignment/>
    </xf>
    <xf numFmtId="171" fontId="3" fillId="0" borderId="13" xfId="54" applyNumberFormat="1" applyFont="1" applyBorder="1" applyAlignment="1">
      <alignment horizontal="center" vertical="justify"/>
    </xf>
    <xf numFmtId="169" fontId="3" fillId="0" borderId="13" xfId="0" applyNumberFormat="1" applyFont="1" applyBorder="1" applyAlignment="1" applyProtection="1">
      <alignment/>
      <protection/>
    </xf>
    <xf numFmtId="165" fontId="77" fillId="0" borderId="0" xfId="0" applyNumberFormat="1" applyFont="1" applyAlignment="1" applyProtection="1">
      <alignment/>
      <protection locked="0"/>
    </xf>
    <xf numFmtId="8" fontId="2" fillId="0" borderId="0" xfId="0" applyNumberFormat="1" applyFont="1" applyAlignment="1" applyProtection="1">
      <alignment/>
      <protection locked="0"/>
    </xf>
    <xf numFmtId="0" fontId="18" fillId="0" borderId="0" xfId="0" applyFont="1" applyAlignment="1">
      <alignment/>
    </xf>
    <xf numFmtId="0" fontId="11" fillId="0" borderId="0" xfId="0" applyFont="1" applyAlignment="1">
      <alignment horizontal="center"/>
    </xf>
    <xf numFmtId="0" fontId="18" fillId="0" borderId="0" xfId="0" applyFont="1" applyAlignment="1">
      <alignment horizontal="center"/>
    </xf>
    <xf numFmtId="0" fontId="18" fillId="0" borderId="11" xfId="0" applyFont="1" applyBorder="1" applyAlignment="1">
      <alignment/>
    </xf>
    <xf numFmtId="0" fontId="18" fillId="0" borderId="12" xfId="0" applyFont="1" applyBorder="1" applyAlignment="1">
      <alignment/>
    </xf>
    <xf numFmtId="0" fontId="19" fillId="0" borderId="0" xfId="0" applyFont="1" applyAlignment="1">
      <alignment/>
    </xf>
    <xf numFmtId="0" fontId="18" fillId="0" borderId="0" xfId="0" applyFont="1" applyBorder="1" applyAlignment="1">
      <alignment/>
    </xf>
    <xf numFmtId="0" fontId="17" fillId="0" borderId="0" xfId="0" applyFont="1" applyAlignment="1">
      <alignment/>
    </xf>
    <xf numFmtId="0" fontId="17" fillId="0" borderId="0" xfId="0" applyFont="1" applyAlignment="1" quotePrefix="1">
      <alignment/>
    </xf>
    <xf numFmtId="3" fontId="18" fillId="0" borderId="0" xfId="0" applyNumberFormat="1" applyFont="1" applyAlignment="1">
      <alignment/>
    </xf>
    <xf numFmtId="165" fontId="3" fillId="0" borderId="13" xfId="46" applyNumberFormat="1" applyFont="1" applyBorder="1" applyAlignment="1">
      <alignment horizontal="right"/>
      <protection/>
    </xf>
    <xf numFmtId="0" fontId="77" fillId="0" borderId="0" xfId="0" applyFont="1" applyAlignment="1" applyProtection="1">
      <alignment/>
      <protection locked="0"/>
    </xf>
    <xf numFmtId="8" fontId="77" fillId="0" borderId="0" xfId="0" applyNumberFormat="1" applyFont="1" applyFill="1" applyAlignment="1" applyProtection="1">
      <alignment/>
      <protection locked="0"/>
    </xf>
    <xf numFmtId="0" fontId="77" fillId="0" borderId="0" xfId="0" applyFont="1" applyFill="1" applyAlignment="1" applyProtection="1">
      <alignment/>
      <protection locked="0"/>
    </xf>
    <xf numFmtId="0" fontId="6" fillId="0" borderId="0" xfId="0" applyFont="1" applyFill="1" applyAlignment="1">
      <alignment horizontal="center"/>
    </xf>
    <xf numFmtId="0" fontId="6" fillId="0" borderId="0" xfId="0" applyNumberFormat="1" applyFont="1" applyFill="1" applyAlignment="1">
      <alignment horizontal="center"/>
    </xf>
    <xf numFmtId="0" fontId="14" fillId="0" borderId="0" xfId="0" applyFont="1" applyFill="1" applyAlignment="1" applyProtection="1">
      <alignment/>
      <protection locked="0"/>
    </xf>
    <xf numFmtId="0" fontId="3" fillId="0" borderId="0" xfId="0" applyFont="1" applyFill="1" applyAlignment="1">
      <alignment/>
    </xf>
    <xf numFmtId="3" fontId="11" fillId="0" borderId="0" xfId="0" applyNumberFormat="1" applyFont="1" applyAlignment="1" applyProtection="1">
      <alignment/>
      <protection/>
    </xf>
    <xf numFmtId="0" fontId="3" fillId="0" borderId="0" xfId="0" applyFont="1" applyAlignment="1" applyProtection="1">
      <alignment/>
      <protection/>
    </xf>
    <xf numFmtId="169" fontId="3" fillId="0" borderId="0" xfId="0" applyNumberFormat="1" applyFont="1" applyAlignment="1">
      <alignment/>
    </xf>
    <xf numFmtId="3" fontId="3" fillId="0" borderId="0" xfId="0" applyNumberFormat="1" applyFont="1" applyAlignment="1">
      <alignment/>
    </xf>
    <xf numFmtId="172" fontId="2" fillId="0" borderId="0" xfId="0" applyNumberFormat="1" applyFont="1" applyAlignment="1">
      <alignment horizontal="right"/>
    </xf>
    <xf numFmtId="166" fontId="2" fillId="0" borderId="0" xfId="0" applyNumberFormat="1" applyFont="1" applyAlignment="1">
      <alignment/>
    </xf>
    <xf numFmtId="166" fontId="2" fillId="0" borderId="0" xfId="0" applyNumberFormat="1" applyFont="1" applyBorder="1" applyAlignment="1" applyProtection="1">
      <alignment horizontal="right"/>
      <protection/>
    </xf>
    <xf numFmtId="165" fontId="6" fillId="0" borderId="0" xfId="0" applyNumberFormat="1" applyFont="1" applyBorder="1" applyAlignment="1" applyProtection="1">
      <alignment/>
      <protection/>
    </xf>
    <xf numFmtId="165" fontId="6" fillId="0" borderId="0" xfId="0" applyNumberFormat="1" applyFont="1" applyBorder="1" applyAlignment="1" applyProtection="1">
      <alignment horizontal="right"/>
      <protection/>
    </xf>
    <xf numFmtId="3" fontId="6" fillId="0" borderId="0" xfId="0" applyNumberFormat="1" applyFont="1" applyAlignment="1" applyProtection="1">
      <alignment/>
      <protection/>
    </xf>
    <xf numFmtId="1" fontId="2" fillId="0" borderId="0" xfId="0" applyNumberFormat="1" applyFont="1" applyAlignment="1" applyProtection="1">
      <alignment/>
      <protection/>
    </xf>
    <xf numFmtId="2" fontId="2" fillId="0" borderId="0" xfId="0" applyNumberFormat="1" applyFont="1" applyAlignment="1" applyProtection="1">
      <alignment/>
      <protection/>
    </xf>
    <xf numFmtId="166" fontId="77" fillId="0" borderId="0" xfId="0" applyNumberFormat="1" applyFont="1" applyFill="1" applyAlignment="1" applyProtection="1">
      <alignment horizontal="right"/>
      <protection locked="0"/>
    </xf>
    <xf numFmtId="8" fontId="14" fillId="0" borderId="0" xfId="0" applyNumberFormat="1" applyFont="1" applyFill="1" applyAlignment="1" applyProtection="1">
      <alignment/>
      <protection locked="0"/>
    </xf>
    <xf numFmtId="165" fontId="14" fillId="0" borderId="0" xfId="0" applyNumberFormat="1" applyFont="1" applyFill="1" applyAlignment="1" applyProtection="1">
      <alignment/>
      <protection locked="0"/>
    </xf>
    <xf numFmtId="165" fontId="2" fillId="0" borderId="0" xfId="46" applyNumberFormat="1" applyFont="1">
      <alignment/>
      <protection/>
    </xf>
    <xf numFmtId="3" fontId="3" fillId="0" borderId="0" xfId="0" applyNumberFormat="1" applyFont="1" applyFill="1" applyBorder="1" applyAlignment="1" applyProtection="1">
      <alignment/>
      <protection/>
    </xf>
    <xf numFmtId="3" fontId="6" fillId="0" borderId="0" xfId="0" applyNumberFormat="1" applyFont="1" applyAlignment="1" applyProtection="1">
      <alignment horizontal="center"/>
      <protection/>
    </xf>
    <xf numFmtId="169" fontId="2" fillId="0" borderId="0" xfId="0" applyNumberFormat="1" applyFont="1" applyBorder="1" applyAlignment="1" applyProtection="1">
      <alignment/>
      <protection/>
    </xf>
    <xf numFmtId="0" fontId="2" fillId="0" borderId="0" xfId="67" applyFont="1" applyFill="1" applyAlignment="1" applyProtection="1">
      <alignment/>
      <protection/>
    </xf>
    <xf numFmtId="0" fontId="5" fillId="0" borderId="0" xfId="67" applyFont="1" applyFill="1" applyAlignment="1" applyProtection="1">
      <alignment/>
      <protection/>
    </xf>
    <xf numFmtId="0" fontId="11" fillId="0" borderId="0" xfId="67" applyFont="1" applyAlignment="1">
      <alignment/>
      <protection/>
    </xf>
    <xf numFmtId="0" fontId="22" fillId="0" borderId="0" xfId="67" applyFont="1" applyAlignment="1" applyProtection="1">
      <alignment horizontal="right"/>
      <protection/>
    </xf>
    <xf numFmtId="0" fontId="23" fillId="0" borderId="0" xfId="67" applyFont="1" applyAlignment="1" applyProtection="1">
      <alignment horizontal="center"/>
      <protection/>
    </xf>
    <xf numFmtId="0" fontId="23" fillId="0" borderId="0" xfId="67" applyFont="1" applyFill="1" applyAlignment="1" applyProtection="1">
      <alignment horizontal="right"/>
      <protection/>
    </xf>
    <xf numFmtId="0" fontId="23" fillId="0" borderId="0" xfId="67" applyFont="1" applyFill="1" applyAlignment="1" applyProtection="1">
      <alignment horizontal="center"/>
      <protection/>
    </xf>
    <xf numFmtId="0" fontId="23" fillId="0" borderId="0" xfId="67" applyFont="1" applyAlignment="1" applyProtection="1">
      <alignment horizontal="right"/>
      <protection/>
    </xf>
    <xf numFmtId="0" fontId="22" fillId="0" borderId="0" xfId="67" applyFont="1" applyFill="1" applyAlignment="1" applyProtection="1">
      <alignment/>
      <protection/>
    </xf>
    <xf numFmtId="0" fontId="23" fillId="0" borderId="0" xfId="67" applyFont="1" applyAlignment="1">
      <alignment horizontal="center"/>
      <protection/>
    </xf>
    <xf numFmtId="0" fontId="22" fillId="0" borderId="0" xfId="67" applyFont="1" applyAlignment="1">
      <alignment horizontal="right"/>
      <protection/>
    </xf>
    <xf numFmtId="0" fontId="22" fillId="0" borderId="0" xfId="67" applyFont="1" applyAlignment="1" applyProtection="1">
      <alignment/>
      <protection/>
    </xf>
    <xf numFmtId="0" fontId="23" fillId="0" borderId="11" xfId="67" applyFont="1" applyFill="1" applyBorder="1" applyAlignment="1" applyProtection="1">
      <alignment horizontal="center"/>
      <protection/>
    </xf>
    <xf numFmtId="0" fontId="23" fillId="0" borderId="0" xfId="67" applyFont="1" applyBorder="1" applyAlignment="1">
      <alignment horizontal="center"/>
      <protection/>
    </xf>
    <xf numFmtId="0" fontId="22" fillId="0" borderId="0" xfId="67" applyFont="1" applyAlignment="1">
      <alignment/>
      <protection/>
    </xf>
    <xf numFmtId="3" fontId="2" fillId="0" borderId="0" xfId="67" applyNumberFormat="1" applyFont="1" applyAlignment="1" applyProtection="1">
      <alignment/>
      <protection/>
    </xf>
    <xf numFmtId="0" fontId="3" fillId="0" borderId="0" xfId="67" applyFont="1" applyAlignment="1">
      <alignment/>
      <protection/>
    </xf>
    <xf numFmtId="7" fontId="3" fillId="0" borderId="0" xfId="67" applyNumberFormat="1" applyFont="1" applyAlignment="1">
      <alignment/>
      <protection/>
    </xf>
    <xf numFmtId="0" fontId="2" fillId="0" borderId="0" xfId="67" applyFont="1" applyAlignment="1" applyProtection="1">
      <alignment/>
      <protection/>
    </xf>
    <xf numFmtId="3" fontId="2" fillId="0" borderId="0" xfId="66" applyNumberFormat="1" applyFont="1" applyBorder="1" applyAlignment="1" applyProtection="1">
      <alignment/>
      <protection/>
    </xf>
    <xf numFmtId="3" fontId="11" fillId="0" borderId="0" xfId="66" applyNumberFormat="1" applyFont="1" applyAlignment="1">
      <alignment/>
      <protection/>
    </xf>
    <xf numFmtId="3" fontId="3" fillId="0" borderId="0" xfId="66" applyNumberFormat="1" applyFont="1" applyBorder="1" applyAlignment="1" applyProtection="1">
      <alignment/>
      <protection/>
    </xf>
    <xf numFmtId="7" fontId="3" fillId="0" borderId="0" xfId="67" applyNumberFormat="1" applyFont="1" applyFill="1" applyAlignment="1" applyProtection="1">
      <alignment/>
      <protection/>
    </xf>
    <xf numFmtId="7" fontId="77" fillId="0" borderId="0" xfId="67" applyNumberFormat="1" applyFont="1" applyFill="1" applyAlignment="1" applyProtection="1">
      <alignment/>
      <protection/>
    </xf>
    <xf numFmtId="173" fontId="3" fillId="0" borderId="0" xfId="67" applyNumberFormat="1" applyFont="1" applyFill="1" applyAlignment="1" applyProtection="1">
      <alignment/>
      <protection/>
    </xf>
    <xf numFmtId="174" fontId="3" fillId="0" borderId="0" xfId="67" applyNumberFormat="1" applyFont="1" applyFill="1" applyAlignment="1" applyProtection="1">
      <alignment/>
      <protection/>
    </xf>
    <xf numFmtId="174" fontId="77" fillId="0" borderId="0" xfId="67" applyNumberFormat="1" applyFont="1" applyFill="1" applyAlignment="1" applyProtection="1">
      <alignment/>
      <protection/>
    </xf>
    <xf numFmtId="0" fontId="3" fillId="0" borderId="0" xfId="67" applyFont="1" applyFill="1" applyAlignment="1">
      <alignment/>
      <protection/>
    </xf>
    <xf numFmtId="0" fontId="11" fillId="0" borderId="0" xfId="67" applyFont="1" applyFill="1" applyAlignment="1">
      <alignment/>
      <protection/>
    </xf>
    <xf numFmtId="0" fontId="3" fillId="0" borderId="0" xfId="67" applyFont="1" applyFill="1" applyAlignment="1" applyProtection="1">
      <alignment/>
      <protection/>
    </xf>
    <xf numFmtId="174" fontId="3" fillId="0" borderId="0" xfId="67" applyNumberFormat="1" applyFont="1" applyFill="1" applyAlignment="1" applyProtection="1">
      <alignment horizontal="right"/>
      <protection/>
    </xf>
    <xf numFmtId="0" fontId="2" fillId="0" borderId="0" xfId="67" applyFont="1" applyBorder="1" applyAlignment="1">
      <alignment horizontal="center"/>
      <protection/>
    </xf>
    <xf numFmtId="0" fontId="3" fillId="0" borderId="0" xfId="67" applyFont="1" applyBorder="1" applyAlignment="1">
      <alignment/>
      <protection/>
    </xf>
    <xf numFmtId="0" fontId="3" fillId="0" borderId="0" xfId="67" applyFont="1" applyAlignment="1" applyProtection="1">
      <alignment/>
      <protection/>
    </xf>
    <xf numFmtId="0" fontId="2" fillId="0" borderId="0" xfId="67" applyFont="1" applyAlignment="1">
      <alignment/>
      <protection/>
    </xf>
    <xf numFmtId="9" fontId="2" fillId="0" borderId="0" xfId="67" applyNumberFormat="1" applyFont="1" applyBorder="1" applyAlignment="1">
      <alignment horizontal="center"/>
      <protection/>
    </xf>
    <xf numFmtId="0" fontId="11" fillId="0" borderId="0" xfId="67" applyFont="1" applyBorder="1" applyAlignment="1">
      <alignment/>
      <protection/>
    </xf>
    <xf numFmtId="0" fontId="2" fillId="0" borderId="0" xfId="67" applyFont="1" applyBorder="1" applyAlignment="1">
      <alignment/>
      <protection/>
    </xf>
    <xf numFmtId="0" fontId="2" fillId="0" borderId="0" xfId="67" applyFont="1" applyAlignment="1">
      <alignment horizontal="right"/>
      <protection/>
    </xf>
    <xf numFmtId="0" fontId="5" fillId="0" borderId="0" xfId="67" applyFont="1" applyAlignment="1">
      <alignment/>
      <protection/>
    </xf>
    <xf numFmtId="175" fontId="3" fillId="0" borderId="0" xfId="67" applyNumberFormat="1" applyFont="1" applyFill="1" applyAlignment="1" applyProtection="1">
      <alignment/>
      <protection/>
    </xf>
    <xf numFmtId="0" fontId="10" fillId="0" borderId="0" xfId="67" applyFont="1" applyFill="1" applyAlignment="1" applyProtection="1">
      <alignment/>
      <protection/>
    </xf>
    <xf numFmtId="7" fontId="2" fillId="0" borderId="0" xfId="67" applyNumberFormat="1" applyFont="1" applyFill="1" applyAlignment="1" applyProtection="1">
      <alignment/>
      <protection/>
    </xf>
    <xf numFmtId="0" fontId="3" fillId="0" borderId="0" xfId="67" applyFont="1" applyFill="1" applyAlignment="1" applyProtection="1">
      <alignment horizontal="left"/>
      <protection/>
    </xf>
    <xf numFmtId="171" fontId="3" fillId="0" borderId="0" xfId="67" applyNumberFormat="1" applyFont="1" applyFill="1" applyAlignment="1" applyProtection="1">
      <alignment/>
      <protection/>
    </xf>
    <xf numFmtId="3" fontId="3" fillId="0" borderId="0" xfId="66" applyNumberFormat="1" applyFont="1" applyAlignment="1" applyProtection="1">
      <alignment/>
      <protection/>
    </xf>
    <xf numFmtId="176" fontId="3" fillId="0" borderId="0" xfId="67" applyNumberFormat="1" applyFont="1" applyFill="1" applyAlignment="1" applyProtection="1">
      <alignment/>
      <protection/>
    </xf>
    <xf numFmtId="176" fontId="2" fillId="0" borderId="0" xfId="67" applyNumberFormat="1" applyFont="1" applyFill="1" applyAlignment="1" applyProtection="1">
      <alignment/>
      <protection/>
    </xf>
    <xf numFmtId="165" fontId="3" fillId="0" borderId="0" xfId="68" applyFont="1" applyAlignment="1">
      <alignment vertical="top" wrapText="1"/>
      <protection/>
    </xf>
    <xf numFmtId="5" fontId="3" fillId="0" borderId="0" xfId="67" applyNumberFormat="1" applyFont="1" applyFill="1" applyAlignment="1" applyProtection="1">
      <alignment/>
      <protection/>
    </xf>
    <xf numFmtId="180" fontId="3" fillId="0" borderId="0" xfId="67" applyNumberFormat="1" applyFont="1" applyFill="1" applyAlignment="1" applyProtection="1">
      <alignment/>
      <protection/>
    </xf>
    <xf numFmtId="0" fontId="77" fillId="0" borderId="0" xfId="0" applyFont="1" applyFill="1" applyAlignment="1" applyProtection="1">
      <alignment/>
      <protection locked="0"/>
    </xf>
    <xf numFmtId="0" fontId="15" fillId="0" borderId="0" xfId="0" applyFont="1" applyFill="1" applyAlignment="1" applyProtection="1">
      <alignment horizontal="center"/>
      <protection locked="0"/>
    </xf>
    <xf numFmtId="9" fontId="3" fillId="0" borderId="0" xfId="0" applyNumberFormat="1" applyFont="1" applyAlignment="1" quotePrefix="1">
      <alignment/>
    </xf>
    <xf numFmtId="20" fontId="3" fillId="0" borderId="0" xfId="0" applyNumberFormat="1" applyFont="1" applyAlignment="1" quotePrefix="1">
      <alignment/>
    </xf>
    <xf numFmtId="165" fontId="3" fillId="0" borderId="0" xfId="68">
      <alignment vertical="top"/>
      <protection/>
    </xf>
    <xf numFmtId="165" fontId="3" fillId="0" borderId="0" xfId="68" applyBorder="1">
      <alignment vertical="top"/>
      <protection/>
    </xf>
    <xf numFmtId="165" fontId="25" fillId="0" borderId="0" xfId="68" applyFont="1" applyBorder="1" applyAlignment="1">
      <alignment vertical="center"/>
      <protection/>
    </xf>
    <xf numFmtId="165" fontId="3" fillId="0" borderId="0" xfId="68" applyBorder="1" applyAlignment="1">
      <alignment vertical="center"/>
      <protection/>
    </xf>
    <xf numFmtId="165" fontId="3" fillId="0" borderId="0" xfId="68" applyAlignment="1">
      <alignment vertical="center"/>
      <protection/>
    </xf>
    <xf numFmtId="165" fontId="3" fillId="0" borderId="0" xfId="68" applyFont="1">
      <alignment vertical="top"/>
      <protection/>
    </xf>
    <xf numFmtId="3" fontId="11" fillId="0" borderId="0" xfId="0" applyNumberFormat="1" applyFont="1" applyAlignment="1">
      <alignment vertical="top"/>
    </xf>
    <xf numFmtId="0" fontId="0" fillId="0" borderId="0" xfId="0" applyAlignment="1">
      <alignment vertical="top"/>
    </xf>
    <xf numFmtId="0" fontId="3" fillId="37" borderId="0" xfId="67" applyFont="1" applyFill="1" applyAlignment="1" applyProtection="1">
      <alignment/>
      <protection/>
    </xf>
    <xf numFmtId="174" fontId="3" fillId="37" borderId="0" xfId="67" applyNumberFormat="1" applyFont="1" applyFill="1" applyAlignment="1" applyProtection="1">
      <alignment horizontal="right"/>
      <protection/>
    </xf>
    <xf numFmtId="0" fontId="11" fillId="37" borderId="0" xfId="67" applyFont="1" applyFill="1" applyAlignment="1">
      <alignment/>
      <protection/>
    </xf>
    <xf numFmtId="0" fontId="3" fillId="37" borderId="0" xfId="67" applyFont="1" applyFill="1" applyAlignment="1">
      <alignment/>
      <protection/>
    </xf>
    <xf numFmtId="0" fontId="2" fillId="37" borderId="14" xfId="67" applyFont="1" applyFill="1" applyBorder="1" applyAlignment="1">
      <alignment horizontal="center"/>
      <protection/>
    </xf>
    <xf numFmtId="0" fontId="2" fillId="37" borderId="0" xfId="67" applyFont="1" applyFill="1" applyBorder="1" applyAlignment="1">
      <alignment horizontal="center"/>
      <protection/>
    </xf>
    <xf numFmtId="0" fontId="5" fillId="37" borderId="0" xfId="67" applyFont="1" applyFill="1" applyAlignment="1" applyProtection="1">
      <alignment horizontal="right"/>
      <protection/>
    </xf>
    <xf numFmtId="0" fontId="2" fillId="37" borderId="0" xfId="67" applyFont="1" applyFill="1" applyAlignment="1">
      <alignment/>
      <protection/>
    </xf>
    <xf numFmtId="9" fontId="77" fillId="37" borderId="0" xfId="67" applyNumberFormat="1" applyFont="1" applyFill="1" applyBorder="1" applyAlignment="1">
      <alignment horizontal="center"/>
      <protection/>
    </xf>
    <xf numFmtId="6" fontId="14" fillId="0" borderId="0" xfId="0" applyNumberFormat="1" applyFont="1" applyFill="1" applyAlignment="1" applyProtection="1">
      <alignment/>
      <protection locked="0"/>
    </xf>
    <xf numFmtId="166" fontId="78" fillId="0" borderId="0" xfId="0" applyNumberFormat="1" applyFont="1" applyFill="1" applyAlignment="1" applyProtection="1">
      <alignment horizontal="right"/>
      <protection locked="0"/>
    </xf>
    <xf numFmtId="166" fontId="14" fillId="0" borderId="0" xfId="0" applyNumberFormat="1" applyFont="1" applyFill="1" applyAlignment="1" applyProtection="1">
      <alignment horizontal="right"/>
      <protection locked="0"/>
    </xf>
    <xf numFmtId="166" fontId="16" fillId="0" borderId="0" xfId="0" applyNumberFormat="1" applyFont="1" applyFill="1" applyAlignment="1" applyProtection="1">
      <alignment horizontal="right"/>
      <protection locked="0"/>
    </xf>
    <xf numFmtId="0" fontId="0" fillId="0" borderId="0" xfId="0" applyFill="1" applyAlignment="1" applyProtection="1">
      <alignment/>
      <protection/>
    </xf>
    <xf numFmtId="0" fontId="79" fillId="0" borderId="0" xfId="0" applyFont="1" applyBorder="1" applyAlignment="1" applyProtection="1">
      <alignment/>
      <protection/>
    </xf>
    <xf numFmtId="0" fontId="80" fillId="0" borderId="11" xfId="0" applyFont="1" applyBorder="1" applyAlignment="1" applyProtection="1">
      <alignment horizontal="left" wrapText="1"/>
      <protection/>
    </xf>
    <xf numFmtId="0" fontId="0" fillId="0" borderId="11" xfId="0" applyBorder="1" applyAlignment="1" applyProtection="1">
      <alignment/>
      <protection/>
    </xf>
    <xf numFmtId="0" fontId="0" fillId="0" borderId="0" xfId="0" applyAlignment="1">
      <alignment/>
    </xf>
    <xf numFmtId="0" fontId="0" fillId="0" borderId="0" xfId="0" applyBorder="1" applyAlignment="1">
      <alignment/>
    </xf>
    <xf numFmtId="0" fontId="79" fillId="0" borderId="0" xfId="0" applyFont="1" applyBorder="1" applyAlignment="1">
      <alignment horizontal="left" vertical="center"/>
    </xf>
    <xf numFmtId="0" fontId="80" fillId="0" borderId="0" xfId="0" applyFont="1" applyBorder="1" applyAlignment="1">
      <alignment/>
    </xf>
    <xf numFmtId="165" fontId="23" fillId="0" borderId="0" xfId="68" applyFont="1">
      <alignment vertical="top"/>
      <protection/>
    </xf>
    <xf numFmtId="0" fontId="23" fillId="0" borderId="0" xfId="0" applyFont="1" applyAlignment="1">
      <alignment/>
    </xf>
    <xf numFmtId="165" fontId="81" fillId="0" borderId="0" xfId="62" applyNumberFormat="1" applyFont="1" applyAlignment="1" applyProtection="1">
      <alignment vertical="top"/>
      <protection/>
    </xf>
    <xf numFmtId="165" fontId="22" fillId="0" borderId="0" xfId="68" applyFont="1">
      <alignment vertical="top"/>
      <protection/>
    </xf>
    <xf numFmtId="0" fontId="22" fillId="0" borderId="0" xfId="0" applyFont="1" applyAlignment="1">
      <alignment/>
    </xf>
    <xf numFmtId="165" fontId="22" fillId="0" borderId="0" xfId="68" applyFont="1" applyBorder="1">
      <alignment vertical="top"/>
      <protection/>
    </xf>
    <xf numFmtId="0" fontId="81" fillId="0" borderId="0" xfId="62" applyFont="1" applyAlignment="1" applyProtection="1">
      <alignment vertical="top"/>
      <protection/>
    </xf>
    <xf numFmtId="169" fontId="22" fillId="0" borderId="0" xfId="0" applyNumberFormat="1" applyFont="1" applyAlignment="1">
      <alignment/>
    </xf>
    <xf numFmtId="3" fontId="22" fillId="0" borderId="0" xfId="0" applyNumberFormat="1" applyFont="1" applyAlignment="1" applyProtection="1">
      <alignment/>
      <protection/>
    </xf>
    <xf numFmtId="0" fontId="23" fillId="0" borderId="0" xfId="0" applyFont="1" applyBorder="1" applyAlignment="1" applyProtection="1">
      <alignment/>
      <protection/>
    </xf>
    <xf numFmtId="0" fontId="22" fillId="0" borderId="0" xfId="0" applyFont="1" applyBorder="1" applyAlignment="1" applyProtection="1">
      <alignment/>
      <protection/>
    </xf>
    <xf numFmtId="3" fontId="22" fillId="0" borderId="0" xfId="0" applyNumberFormat="1" applyFont="1" applyAlignment="1">
      <alignment/>
    </xf>
    <xf numFmtId="0" fontId="23" fillId="0" borderId="0" xfId="0" applyFont="1" applyAlignment="1" applyProtection="1">
      <alignment/>
      <protection/>
    </xf>
    <xf numFmtId="169" fontId="23" fillId="0" borderId="0" xfId="0" applyNumberFormat="1" applyFont="1" applyAlignment="1">
      <alignment/>
    </xf>
    <xf numFmtId="3" fontId="23" fillId="0" borderId="0" xfId="0" applyNumberFormat="1" applyFont="1" applyAlignment="1">
      <alignment/>
    </xf>
    <xf numFmtId="0" fontId="22" fillId="0" borderId="0" xfId="0" applyFont="1" applyAlignment="1" applyProtection="1">
      <alignment/>
      <protection/>
    </xf>
    <xf numFmtId="0" fontId="79" fillId="0" borderId="0" xfId="0" applyFont="1" applyBorder="1" applyAlignment="1" applyProtection="1">
      <alignment horizontal="right"/>
      <protection/>
    </xf>
    <xf numFmtId="1" fontId="77" fillId="0" borderId="0" xfId="0" applyNumberFormat="1" applyFont="1" applyAlignment="1" applyProtection="1">
      <alignment/>
      <protection locked="0"/>
    </xf>
    <xf numFmtId="9" fontId="77" fillId="0" borderId="0" xfId="77" applyFont="1" applyAlignment="1" applyProtection="1">
      <alignment/>
      <protection locked="0"/>
    </xf>
    <xf numFmtId="44" fontId="77" fillId="0" borderId="0" xfId="54" applyFont="1" applyFill="1" applyAlignment="1" applyProtection="1">
      <alignment/>
      <protection locked="0"/>
    </xf>
    <xf numFmtId="44" fontId="77" fillId="0" borderId="0" xfId="54" applyFont="1" applyAlignment="1" applyProtection="1">
      <alignment/>
      <protection locked="0"/>
    </xf>
    <xf numFmtId="44" fontId="77" fillId="0" borderId="0" xfId="54" applyFont="1" applyBorder="1" applyAlignment="1" applyProtection="1">
      <alignment/>
      <protection locked="0"/>
    </xf>
    <xf numFmtId="167" fontId="14" fillId="0" borderId="0" xfId="0" applyNumberFormat="1" applyFont="1" applyFill="1" applyAlignment="1" applyProtection="1">
      <alignment/>
      <protection locked="0"/>
    </xf>
    <xf numFmtId="9" fontId="77" fillId="0" borderId="14" xfId="67" applyNumberFormat="1" applyFont="1" applyFill="1" applyBorder="1" applyAlignment="1" applyProtection="1">
      <alignment horizontal="center"/>
      <protection locked="0"/>
    </xf>
    <xf numFmtId="7" fontId="3" fillId="0" borderId="0" xfId="67" applyNumberFormat="1" applyFont="1" applyFill="1" applyAlignment="1" applyProtection="1">
      <alignment horizontal="center"/>
      <protection/>
    </xf>
    <xf numFmtId="0" fontId="3" fillId="0" borderId="0" xfId="67" applyNumberFormat="1" applyFont="1" applyFill="1" applyAlignment="1" applyProtection="1">
      <alignment/>
      <protection/>
    </xf>
    <xf numFmtId="0" fontId="0" fillId="0" borderId="11" xfId="0" applyBorder="1" applyAlignment="1">
      <alignment/>
    </xf>
    <xf numFmtId="165" fontId="11" fillId="0" borderId="0" xfId="68" applyFont="1" applyAlignment="1">
      <alignment horizontal="left" vertical="top" wrapText="1"/>
      <protection/>
    </xf>
    <xf numFmtId="165" fontId="11" fillId="0" borderId="0" xfId="68" applyFont="1" applyAlignment="1">
      <alignment vertical="top"/>
      <protection/>
    </xf>
    <xf numFmtId="165" fontId="11" fillId="0" borderId="0" xfId="68" applyFont="1" applyAlignment="1">
      <alignment vertical="top" wrapText="1"/>
      <protection/>
    </xf>
    <xf numFmtId="165" fontId="77" fillId="0" borderId="0" xfId="0" applyNumberFormat="1" applyFont="1" applyFill="1" applyAlignment="1" applyProtection="1">
      <alignment/>
      <protection locked="0"/>
    </xf>
    <xf numFmtId="165" fontId="14" fillId="0" borderId="0" xfId="0" applyNumberFormat="1" applyFont="1" applyFill="1" applyAlignment="1" applyProtection="1">
      <alignment/>
      <protection locked="0"/>
    </xf>
    <xf numFmtId="0" fontId="3" fillId="0" borderId="0" xfId="0" applyFont="1" applyFill="1" applyAlignment="1" applyProtection="1">
      <alignment/>
      <protection locked="0"/>
    </xf>
    <xf numFmtId="0" fontId="2" fillId="0" borderId="0" xfId="0" applyFont="1" applyFill="1" applyAlignment="1" applyProtection="1">
      <alignment horizontal="right"/>
      <protection locked="0"/>
    </xf>
    <xf numFmtId="0" fontId="6" fillId="0" borderId="0" xfId="0" applyFont="1" applyFill="1" applyAlignment="1" applyProtection="1">
      <alignment horizontal="right"/>
      <protection locked="0"/>
    </xf>
    <xf numFmtId="166" fontId="77" fillId="0" borderId="0" xfId="0" applyNumberFormat="1" applyFont="1" applyFill="1" applyAlignment="1" applyProtection="1">
      <alignment/>
      <protection locked="0"/>
    </xf>
    <xf numFmtId="8" fontId="2" fillId="0" borderId="0" xfId="0" applyNumberFormat="1" applyFont="1" applyFill="1" applyAlignment="1" applyProtection="1">
      <alignment/>
      <protection locked="0"/>
    </xf>
    <xf numFmtId="0" fontId="2" fillId="37" borderId="0" xfId="67" applyFont="1" applyFill="1" applyAlignment="1" applyProtection="1">
      <alignment horizontal="right"/>
      <protection/>
    </xf>
    <xf numFmtId="3" fontId="81" fillId="0" borderId="0" xfId="62" applyNumberFormat="1" applyFont="1" applyAlignment="1" applyProtection="1">
      <alignment/>
      <protection/>
    </xf>
    <xf numFmtId="165" fontId="22" fillId="0" borderId="0" xfId="68" applyFont="1" applyFill="1">
      <alignment vertical="top"/>
      <protection/>
    </xf>
    <xf numFmtId="0" fontId="15" fillId="0" borderId="0" xfId="0" applyFont="1" applyFill="1" applyAlignment="1">
      <alignment horizontal="left"/>
    </xf>
    <xf numFmtId="0" fontId="15" fillId="0" borderId="0" xfId="0" applyFont="1" applyFill="1" applyAlignment="1">
      <alignment horizontal="center"/>
    </xf>
    <xf numFmtId="180" fontId="3" fillId="0" borderId="0" xfId="0" applyNumberFormat="1" applyFont="1" applyAlignment="1">
      <alignment/>
    </xf>
    <xf numFmtId="2" fontId="3" fillId="0" borderId="0" xfId="0" applyNumberFormat="1" applyFont="1" applyAlignment="1">
      <alignment/>
    </xf>
    <xf numFmtId="0" fontId="18" fillId="0" borderId="0" xfId="0" applyFont="1" applyFill="1" applyAlignment="1">
      <alignment/>
    </xf>
    <xf numFmtId="0" fontId="6" fillId="0" borderId="0" xfId="0" applyFont="1" applyFill="1" applyAlignment="1">
      <alignment horizontal="left"/>
    </xf>
    <xf numFmtId="1" fontId="3" fillId="0" borderId="0" xfId="0" applyNumberFormat="1" applyFont="1" applyFill="1" applyAlignment="1">
      <alignment/>
    </xf>
    <xf numFmtId="0" fontId="3" fillId="0" borderId="0" xfId="0" applyFont="1" applyFill="1" applyAlignment="1">
      <alignment/>
    </xf>
    <xf numFmtId="0" fontId="18" fillId="0" borderId="0" xfId="0" applyFont="1" applyFill="1" applyAlignment="1">
      <alignment horizontal="center"/>
    </xf>
    <xf numFmtId="1" fontId="3" fillId="0" borderId="0" xfId="0" applyNumberFormat="1" applyFont="1" applyFill="1" applyAlignment="1">
      <alignment horizontal="right"/>
    </xf>
    <xf numFmtId="0" fontId="3" fillId="0" borderId="0" xfId="0" applyNumberFormat="1" applyFont="1" applyFill="1" applyAlignment="1">
      <alignment horizontal="right"/>
    </xf>
    <xf numFmtId="165" fontId="3" fillId="0" borderId="0" xfId="0" applyNumberFormat="1" applyFont="1" applyFill="1" applyAlignment="1">
      <alignment/>
    </xf>
    <xf numFmtId="1" fontId="7" fillId="0" borderId="0" xfId="0" applyNumberFormat="1" applyFont="1" applyFill="1" applyAlignment="1">
      <alignment/>
    </xf>
    <xf numFmtId="165" fontId="3" fillId="0" borderId="0" xfId="0" applyNumberFormat="1" applyFont="1" applyFill="1" applyAlignment="1">
      <alignment/>
    </xf>
    <xf numFmtId="1" fontId="3" fillId="0" borderId="0" xfId="0" applyNumberFormat="1" applyFont="1" applyFill="1" applyAlignment="1">
      <alignment/>
    </xf>
    <xf numFmtId="165" fontId="2" fillId="0" borderId="0" xfId="0" applyNumberFormat="1" applyFont="1" applyFill="1" applyAlignment="1">
      <alignment/>
    </xf>
    <xf numFmtId="0" fontId="7" fillId="0" borderId="0" xfId="0" applyFont="1" applyFill="1" applyAlignment="1">
      <alignment/>
    </xf>
    <xf numFmtId="165" fontId="7" fillId="0" borderId="0" xfId="0" applyNumberFormat="1" applyFont="1" applyFill="1" applyAlignment="1">
      <alignment/>
    </xf>
    <xf numFmtId="0" fontId="3" fillId="0" borderId="0" xfId="0" applyNumberFormat="1" applyFont="1" applyFill="1" applyAlignment="1">
      <alignment horizontal="left"/>
    </xf>
    <xf numFmtId="2" fontId="3" fillId="0" borderId="0" xfId="0" applyNumberFormat="1" applyFont="1" applyFill="1" applyAlignment="1">
      <alignment horizontal="right"/>
    </xf>
    <xf numFmtId="165" fontId="7" fillId="0" borderId="0" xfId="0" applyNumberFormat="1" applyFont="1" applyFill="1" applyAlignment="1">
      <alignment/>
    </xf>
    <xf numFmtId="165" fontId="3" fillId="0" borderId="0" xfId="0" applyNumberFormat="1" applyFont="1" applyFill="1" applyAlignment="1">
      <alignment horizontal="right"/>
    </xf>
    <xf numFmtId="0" fontId="7" fillId="0" borderId="0" xfId="0" applyNumberFormat="1" applyFont="1" applyFill="1" applyAlignment="1">
      <alignment horizontal="right"/>
    </xf>
    <xf numFmtId="164" fontId="3" fillId="0" borderId="0" xfId="0" applyNumberFormat="1" applyFont="1" applyFill="1" applyAlignment="1">
      <alignment horizontal="right"/>
    </xf>
    <xf numFmtId="0" fontId="3" fillId="0" borderId="0" xfId="0" applyNumberFormat="1" applyFont="1" applyFill="1" applyAlignment="1">
      <alignment/>
    </xf>
    <xf numFmtId="164" fontId="7" fillId="0" borderId="0" xfId="0" applyNumberFormat="1" applyFont="1" applyFill="1" applyAlignment="1">
      <alignment horizontal="right"/>
    </xf>
    <xf numFmtId="0" fontId="7" fillId="0" borderId="0" xfId="0" applyNumberFormat="1" applyFont="1" applyFill="1" applyAlignment="1">
      <alignment/>
    </xf>
    <xf numFmtId="166" fontId="3" fillId="0" borderId="0" xfId="0" applyNumberFormat="1" applyFont="1" applyFill="1" applyAlignment="1">
      <alignment/>
    </xf>
    <xf numFmtId="166" fontId="7" fillId="0" borderId="0" xfId="0" applyNumberFormat="1" applyFont="1" applyFill="1" applyAlignment="1">
      <alignment/>
    </xf>
    <xf numFmtId="8" fontId="3" fillId="0" borderId="0" xfId="0" applyNumberFormat="1" applyFont="1" applyFill="1" applyAlignment="1">
      <alignment/>
    </xf>
    <xf numFmtId="1" fontId="7" fillId="0" borderId="0" xfId="0" applyNumberFormat="1" applyFont="1" applyFill="1" applyAlignment="1">
      <alignment/>
    </xf>
    <xf numFmtId="165" fontId="3" fillId="0" borderId="0" xfId="0" applyNumberFormat="1" applyFont="1" applyFill="1" applyAlignment="1" quotePrefix="1">
      <alignment/>
    </xf>
    <xf numFmtId="2" fontId="7" fillId="0" borderId="0" xfId="0" applyNumberFormat="1" applyFont="1" applyFill="1" applyAlignment="1">
      <alignment/>
    </xf>
    <xf numFmtId="4" fontId="7" fillId="0" borderId="0" xfId="0" applyNumberFormat="1" applyFont="1" applyFill="1" applyAlignment="1">
      <alignment/>
    </xf>
    <xf numFmtId="2" fontId="3" fillId="0" borderId="0" xfId="0" applyNumberFormat="1" applyFont="1" applyFill="1" applyAlignment="1">
      <alignment/>
    </xf>
    <xf numFmtId="3" fontId="3" fillId="0" borderId="0" xfId="0" applyNumberFormat="1" applyFont="1" applyFill="1" applyAlignment="1">
      <alignment/>
    </xf>
    <xf numFmtId="3" fontId="7" fillId="0" borderId="0" xfId="0" applyNumberFormat="1" applyFont="1" applyFill="1" applyAlignment="1">
      <alignment/>
    </xf>
    <xf numFmtId="164" fontId="2" fillId="0" borderId="0" xfId="0" applyNumberFormat="1" applyFont="1" applyFill="1" applyAlignment="1">
      <alignment horizontal="right"/>
    </xf>
    <xf numFmtId="167" fontId="7" fillId="0" borderId="0" xfId="0" applyNumberFormat="1" applyFont="1" applyFill="1" applyAlignment="1">
      <alignment/>
    </xf>
    <xf numFmtId="167" fontId="3" fillId="0" borderId="0" xfId="0" applyNumberFormat="1" applyFont="1" applyFill="1" applyAlignment="1">
      <alignment/>
    </xf>
    <xf numFmtId="6" fontId="3" fillId="0" borderId="0" xfId="0" applyNumberFormat="1" applyFont="1" applyFill="1" applyAlignment="1">
      <alignment/>
    </xf>
    <xf numFmtId="8" fontId="2" fillId="0" borderId="0" xfId="0" applyNumberFormat="1" applyFont="1" applyFill="1" applyAlignment="1">
      <alignment/>
    </xf>
    <xf numFmtId="8" fontId="7" fillId="0" borderId="0" xfId="0" applyNumberFormat="1" applyFont="1" applyFill="1" applyAlignment="1">
      <alignment/>
    </xf>
    <xf numFmtId="0" fontId="79" fillId="0" borderId="0" xfId="0" applyFont="1" applyFill="1" applyBorder="1" applyAlignment="1" applyProtection="1">
      <alignment/>
      <protection/>
    </xf>
    <xf numFmtId="0" fontId="80" fillId="0" borderId="11" xfId="0" applyFont="1" applyFill="1" applyBorder="1" applyAlignment="1" applyProtection="1">
      <alignment horizontal="left" wrapText="1"/>
      <protection/>
    </xf>
    <xf numFmtId="0" fontId="0" fillId="0" borderId="0" xfId="0" applyFill="1" applyBorder="1" applyAlignment="1">
      <alignment/>
    </xf>
    <xf numFmtId="165" fontId="81" fillId="0" borderId="0" xfId="62" applyNumberFormat="1" applyFont="1" applyFill="1" applyAlignment="1" applyProtection="1">
      <alignment vertical="top"/>
      <protection/>
    </xf>
    <xf numFmtId="0" fontId="22" fillId="0" borderId="0" xfId="0" applyFont="1" applyFill="1" applyAlignment="1">
      <alignment/>
    </xf>
    <xf numFmtId="0" fontId="81" fillId="0" borderId="0" xfId="62" applyFont="1" applyFill="1" applyAlignment="1" applyProtection="1">
      <alignment vertical="top"/>
      <protection/>
    </xf>
    <xf numFmtId="0" fontId="22" fillId="0" borderId="0" xfId="0" applyFont="1" applyFill="1" applyBorder="1" applyAlignment="1" applyProtection="1">
      <alignment/>
      <protection/>
    </xf>
    <xf numFmtId="169" fontId="81" fillId="0" borderId="0" xfId="62" applyNumberFormat="1" applyFont="1" applyFill="1" applyAlignment="1" applyProtection="1">
      <alignment/>
      <protection/>
    </xf>
    <xf numFmtId="3" fontId="22" fillId="0" borderId="0" xfId="0" applyNumberFormat="1" applyFont="1" applyFill="1" applyAlignment="1">
      <alignment/>
    </xf>
    <xf numFmtId="3" fontId="11" fillId="0" borderId="0" xfId="0" applyNumberFormat="1" applyFont="1" applyFill="1" applyAlignment="1">
      <alignment/>
    </xf>
    <xf numFmtId="169" fontId="3" fillId="0" borderId="0" xfId="0" applyNumberFormat="1" applyFont="1" applyFill="1" applyAlignment="1">
      <alignment/>
    </xf>
    <xf numFmtId="0" fontId="10" fillId="0" borderId="0" xfId="0" applyFont="1" applyFill="1" applyAlignment="1">
      <alignment horizontal="center"/>
    </xf>
    <xf numFmtId="0" fontId="14" fillId="0" borderId="0" xfId="0" applyFont="1" applyFill="1" applyAlignment="1" applyProtection="1">
      <alignment/>
      <protection locked="0"/>
    </xf>
    <xf numFmtId="3" fontId="11" fillId="0" borderId="0" xfId="0" applyNumberFormat="1" applyFont="1" applyFill="1" applyAlignment="1" applyProtection="1">
      <alignment/>
      <protection/>
    </xf>
    <xf numFmtId="0" fontId="2" fillId="0" borderId="0" xfId="0" applyFont="1" applyFill="1" applyAlignment="1" applyProtection="1">
      <alignment/>
      <protection/>
    </xf>
    <xf numFmtId="182" fontId="3" fillId="0" borderId="0" xfId="0" applyNumberFormat="1" applyFont="1" applyFill="1" applyAlignment="1" applyProtection="1">
      <alignment/>
      <protection/>
    </xf>
    <xf numFmtId="3" fontId="3" fillId="0" borderId="0" xfId="0" applyNumberFormat="1" applyFont="1" applyFill="1" applyAlignment="1" applyProtection="1">
      <alignment/>
      <protection/>
    </xf>
    <xf numFmtId="3" fontId="3" fillId="0" borderId="0" xfId="0" applyNumberFormat="1" applyFont="1" applyFill="1" applyAlignment="1">
      <alignment/>
    </xf>
    <xf numFmtId="3" fontId="7" fillId="0" borderId="0" xfId="0" applyNumberFormat="1" applyFont="1" applyFill="1" applyAlignment="1" applyProtection="1">
      <alignment/>
      <protection/>
    </xf>
    <xf numFmtId="4" fontId="3" fillId="0" borderId="0" xfId="48" applyNumberFormat="1" applyFont="1" applyFill="1">
      <alignment/>
      <protection/>
    </xf>
    <xf numFmtId="3" fontId="3" fillId="0" borderId="0" xfId="48" applyNumberFormat="1" applyFont="1" applyFill="1">
      <alignment/>
      <protection/>
    </xf>
    <xf numFmtId="182" fontId="3" fillId="0" borderId="0" xfId="48" applyNumberFormat="1" applyFont="1" applyFill="1">
      <alignment/>
      <protection/>
    </xf>
    <xf numFmtId="165" fontId="7" fillId="0" borderId="0" xfId="48" applyNumberFormat="1" applyFont="1" applyFill="1">
      <alignment/>
      <protection/>
    </xf>
    <xf numFmtId="3" fontId="7" fillId="0" borderId="0" xfId="0" applyNumberFormat="1" applyFont="1" applyFill="1" applyAlignment="1">
      <alignment/>
    </xf>
    <xf numFmtId="165" fontId="2" fillId="0" borderId="0" xfId="48" applyNumberFormat="1" applyFont="1" applyFill="1">
      <alignment/>
      <protection/>
    </xf>
    <xf numFmtId="0" fontId="3" fillId="0" borderId="0" xfId="0" applyFont="1" applyFill="1" applyBorder="1" applyAlignment="1" applyProtection="1">
      <alignment/>
      <protection/>
    </xf>
    <xf numFmtId="184" fontId="3" fillId="0" borderId="0" xfId="0" applyNumberFormat="1" applyFont="1" applyFill="1" applyAlignment="1" applyProtection="1">
      <alignment/>
      <protection/>
    </xf>
    <xf numFmtId="185" fontId="3" fillId="0" borderId="0" xfId="0" applyNumberFormat="1" applyFont="1" applyFill="1" applyAlignment="1" applyProtection="1">
      <alignment/>
      <protection/>
    </xf>
    <xf numFmtId="165" fontId="3" fillId="0" borderId="0" xfId="46" applyNumberFormat="1" applyFill="1">
      <alignment/>
      <protection/>
    </xf>
    <xf numFmtId="3" fontId="7" fillId="0" borderId="0" xfId="46" applyNumberFormat="1" applyFont="1" applyFill="1" applyAlignment="1">
      <alignment horizontal="right"/>
      <protection/>
    </xf>
    <xf numFmtId="0" fontId="7" fillId="0" borderId="0" xfId="0" applyFont="1" applyFill="1" applyAlignment="1" applyProtection="1">
      <alignment/>
      <protection/>
    </xf>
    <xf numFmtId="4" fontId="7" fillId="0" borderId="0" xfId="48" applyNumberFormat="1" applyFont="1" applyFill="1">
      <alignment/>
      <protection/>
    </xf>
    <xf numFmtId="166" fontId="3" fillId="0" borderId="0" xfId="46" applyNumberFormat="1" applyFill="1">
      <alignment/>
      <protection/>
    </xf>
    <xf numFmtId="4" fontId="7" fillId="0" borderId="0" xfId="46" applyNumberFormat="1" applyFont="1" applyFill="1">
      <alignment/>
      <protection/>
    </xf>
    <xf numFmtId="0" fontId="2" fillId="0" borderId="0" xfId="0" applyFont="1" applyAlignment="1" applyProtection="1">
      <alignment/>
      <protection/>
    </xf>
    <xf numFmtId="0" fontId="3" fillId="0" borderId="0" xfId="0" applyFont="1" applyAlignment="1">
      <alignment horizontal="center"/>
    </xf>
    <xf numFmtId="3" fontId="0" fillId="0" borderId="0" xfId="0" applyNumberFormat="1" applyFill="1" applyAlignment="1">
      <alignment/>
    </xf>
    <xf numFmtId="3" fontId="0" fillId="0" borderId="0" xfId="0" applyNumberFormat="1" applyFill="1" applyAlignment="1" applyProtection="1">
      <alignment/>
      <protection/>
    </xf>
    <xf numFmtId="182" fontId="77" fillId="0" borderId="0" xfId="0" applyNumberFormat="1" applyFont="1" applyFill="1" applyAlignment="1" applyProtection="1">
      <alignment/>
      <protection locked="0"/>
    </xf>
    <xf numFmtId="3" fontId="0" fillId="0" borderId="0" xfId="0" applyNumberFormat="1" applyFill="1" applyAlignment="1">
      <alignment horizontal="center"/>
    </xf>
    <xf numFmtId="183" fontId="2" fillId="0" borderId="0" xfId="0" applyNumberFormat="1" applyFont="1" applyFill="1" applyAlignment="1">
      <alignment/>
    </xf>
    <xf numFmtId="3" fontId="77" fillId="0" borderId="0" xfId="0" applyNumberFormat="1" applyFont="1" applyFill="1" applyAlignment="1" applyProtection="1">
      <alignment/>
      <protection locked="0"/>
    </xf>
    <xf numFmtId="0" fontId="2" fillId="0" borderId="0" xfId="0" applyFont="1" applyFill="1" applyAlignment="1">
      <alignment/>
    </xf>
    <xf numFmtId="0" fontId="3" fillId="0" borderId="0" xfId="0" applyFont="1" applyFill="1" applyAlignment="1">
      <alignment horizontal="center"/>
    </xf>
    <xf numFmtId="177" fontId="14" fillId="0" borderId="0" xfId="51" applyFill="1">
      <alignment/>
      <protection locked="0"/>
    </xf>
    <xf numFmtId="166" fontId="14" fillId="0" borderId="0" xfId="0" applyNumberFormat="1" applyFont="1" applyFill="1" applyAlignment="1" applyProtection="1">
      <alignment/>
      <protection locked="0"/>
    </xf>
    <xf numFmtId="165" fontId="14" fillId="0" borderId="0" xfId="47" applyNumberFormat="1" applyFill="1">
      <alignment/>
      <protection locked="0"/>
    </xf>
    <xf numFmtId="186" fontId="14" fillId="0" borderId="0" xfId="45" applyNumberFormat="1" applyProtection="1">
      <alignment/>
      <protection locked="0"/>
    </xf>
    <xf numFmtId="10" fontId="14" fillId="0" borderId="0" xfId="0" applyNumberFormat="1" applyFont="1" applyFill="1" applyAlignment="1" applyProtection="1">
      <alignment/>
      <protection locked="0"/>
    </xf>
    <xf numFmtId="165" fontId="77" fillId="0" borderId="0" xfId="0" applyNumberFormat="1" applyFont="1" applyFill="1" applyAlignment="1" applyProtection="1">
      <alignment/>
      <protection locked="0"/>
    </xf>
    <xf numFmtId="6" fontId="77" fillId="0" borderId="0" xfId="0" applyNumberFormat="1" applyFont="1" applyFill="1" applyAlignment="1" applyProtection="1">
      <alignment/>
      <protection locked="0"/>
    </xf>
    <xf numFmtId="0" fontId="2" fillId="0" borderId="0" xfId="0" applyFont="1" applyFill="1" applyBorder="1" applyAlignment="1" applyProtection="1">
      <alignment/>
      <protection/>
    </xf>
    <xf numFmtId="0" fontId="5" fillId="0" borderId="0" xfId="0" applyFont="1" applyFill="1" applyAlignment="1">
      <alignment/>
    </xf>
    <xf numFmtId="187" fontId="2" fillId="0" borderId="0" xfId="0" applyNumberFormat="1" applyFont="1" applyFill="1" applyBorder="1" applyAlignment="1" applyProtection="1">
      <alignment/>
      <protection/>
    </xf>
    <xf numFmtId="165" fontId="18" fillId="0" borderId="0" xfId="68" applyFont="1" applyFill="1" applyAlignment="1">
      <alignment/>
      <protection/>
    </xf>
    <xf numFmtId="165" fontId="3" fillId="0" borderId="0" xfId="68" applyFill="1" applyAlignment="1">
      <alignment/>
      <protection/>
    </xf>
    <xf numFmtId="188" fontId="2" fillId="0" borderId="0" xfId="0" applyNumberFormat="1" applyFont="1" applyFill="1" applyBorder="1" applyAlignment="1" applyProtection="1">
      <alignment/>
      <protection/>
    </xf>
    <xf numFmtId="0" fontId="22" fillId="0" borderId="0" xfId="0" applyFont="1" applyFill="1" applyAlignment="1">
      <alignment horizontal="left"/>
    </xf>
    <xf numFmtId="0" fontId="11" fillId="0" borderId="0" xfId="0" applyFont="1" applyFill="1" applyAlignment="1">
      <alignment horizontal="center"/>
    </xf>
    <xf numFmtId="165" fontId="23" fillId="0" borderId="0" xfId="68" applyFont="1" applyAlignment="1">
      <alignment horizontal="left" vertical="top" wrapText="1"/>
      <protection/>
    </xf>
    <xf numFmtId="0" fontId="82" fillId="0" borderId="0" xfId="0" applyNumberFormat="1" applyFont="1" applyAlignment="1">
      <alignment horizontal="center"/>
    </xf>
    <xf numFmtId="0" fontId="83" fillId="0" borderId="0" xfId="0" applyNumberFormat="1" applyFont="1" applyAlignment="1">
      <alignment horizontal="center"/>
    </xf>
    <xf numFmtId="165" fontId="11" fillId="0" borderId="0" xfId="68" applyFont="1" applyAlignment="1">
      <alignment horizontal="left" vertical="top" wrapText="1"/>
      <protection/>
    </xf>
    <xf numFmtId="3" fontId="17" fillId="0" borderId="0" xfId="0" applyNumberFormat="1" applyFont="1" applyAlignment="1">
      <alignment horizontal="left" vertical="top" wrapText="1"/>
    </xf>
    <xf numFmtId="0" fontId="84" fillId="38" borderId="0" xfId="0" applyNumberFormat="1" applyFont="1" applyFill="1" applyAlignment="1">
      <alignment horizontal="center"/>
    </xf>
    <xf numFmtId="3" fontId="85" fillId="38" borderId="15" xfId="0" applyNumberFormat="1" applyFont="1" applyFill="1" applyBorder="1" applyAlignment="1" applyProtection="1">
      <alignment horizontal="center"/>
      <protection/>
    </xf>
    <xf numFmtId="0" fontId="84" fillId="38" borderId="0" xfId="67" applyFont="1" applyFill="1" applyAlignment="1" applyProtection="1">
      <alignment horizontal="center"/>
      <protection/>
    </xf>
    <xf numFmtId="0" fontId="23" fillId="0" borderId="0" xfId="67" applyFont="1" applyFill="1" applyAlignment="1" applyProtection="1">
      <alignment horizontal="center"/>
      <protection/>
    </xf>
    <xf numFmtId="165" fontId="3" fillId="0" borderId="0" xfId="68" applyFont="1" applyAlignment="1">
      <alignment horizontal="left" vertical="top" wrapText="1"/>
      <protection/>
    </xf>
    <xf numFmtId="0" fontId="10" fillId="0" borderId="0" xfId="0" applyFont="1" applyAlignment="1">
      <alignment horizontal="center"/>
    </xf>
    <xf numFmtId="0" fontId="15" fillId="0" borderId="0" xfId="0" applyFont="1" applyAlignment="1">
      <alignment horizontal="center"/>
    </xf>
    <xf numFmtId="0" fontId="10" fillId="0" borderId="0" xfId="0" applyNumberFormat="1" applyFont="1" applyAlignment="1">
      <alignment horizontal="center"/>
    </xf>
    <xf numFmtId="0" fontId="27" fillId="0" borderId="0" xfId="0" applyFont="1" applyAlignment="1">
      <alignment/>
    </xf>
    <xf numFmtId="0" fontId="5" fillId="0" borderId="0" xfId="0" applyFont="1" applyAlignment="1">
      <alignment horizontal="center" vertical="center"/>
    </xf>
    <xf numFmtId="0" fontId="11" fillId="0" borderId="0" xfId="0" applyFont="1" applyAlignment="1">
      <alignment horizontal="center" vertical="center"/>
    </xf>
    <xf numFmtId="0" fontId="86" fillId="38" borderId="0" xfId="0" applyFont="1" applyFill="1" applyAlignment="1">
      <alignment horizontal="center"/>
    </xf>
    <xf numFmtId="165" fontId="18" fillId="0" borderId="0" xfId="68" applyFont="1" applyFill="1" applyAlignment="1">
      <alignment horizontal="left" wrapText="1"/>
      <protection/>
    </xf>
    <xf numFmtId="0" fontId="5" fillId="0" borderId="0" xfId="0" applyNumberFormat="1"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21" fillId="0" borderId="0" xfId="0" applyFont="1" applyAlignment="1">
      <alignment horizontal="center"/>
    </xf>
    <xf numFmtId="0" fontId="9" fillId="0" borderId="0" xfId="0" applyFont="1" applyAlignment="1" quotePrefix="1">
      <alignment horizontal="left"/>
    </xf>
    <xf numFmtId="0" fontId="21" fillId="0" borderId="0" xfId="0" applyFont="1" applyAlignment="1">
      <alignment horizontal="left"/>
    </xf>
    <xf numFmtId="0" fontId="20" fillId="0" borderId="0" xfId="0" applyFont="1" applyAlignment="1">
      <alignment horizontal="center"/>
    </xf>
    <xf numFmtId="0" fontId="9" fillId="0" borderId="0" xfId="0" applyFont="1" applyAlignment="1">
      <alignment horizontal="center"/>
    </xf>
    <xf numFmtId="0" fontId="6" fillId="0" borderId="0" xfId="0" applyNumberFormat="1" applyFont="1" applyAlignment="1">
      <alignment horizontal="left" wrapText="1"/>
    </xf>
    <xf numFmtId="0" fontId="19" fillId="0" borderId="0" xfId="0" applyFont="1" applyAlignment="1">
      <alignment horizontal="lef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 ($1,234) L Black" xfId="44"/>
    <cellStyle name="Curr ($1,234) U Blue" xfId="45"/>
    <cellStyle name="Curr ($1,234.00) L Black" xfId="46"/>
    <cellStyle name="Curr ($1,234.00) U Blue" xfId="47"/>
    <cellStyle name="Curr (1,234) L Black" xfId="48"/>
    <cellStyle name="Curr (1,234) U Blue" xfId="49"/>
    <cellStyle name="Curr (1,234.0) L Black" xfId="50"/>
    <cellStyle name="Curr (1,234.0) U Blue" xfId="51"/>
    <cellStyle name="Curr (1,234.00) L Black" xfId="52"/>
    <cellStyle name="Curr (1,234.00) U Blue" xfId="53"/>
    <cellStyle name="Currency" xfId="54"/>
    <cellStyle name="Currency [0]" xfId="55"/>
    <cellStyle name="Explanatory Text"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rmal_Farrow-Wean 500" xfId="68"/>
    <cellStyle name="Note" xfId="69"/>
    <cellStyle name="Num (1,234) L Black" xfId="70"/>
    <cellStyle name="Num (1,234) U Blue" xfId="71"/>
    <cellStyle name="Num (1,234.0) L Black" xfId="72"/>
    <cellStyle name="Num (1,234.0) U Blue" xfId="73"/>
    <cellStyle name="Num (1,234.10) L Black" xfId="74"/>
    <cellStyle name="Num (1,234.10) U Blue" xfId="75"/>
    <cellStyle name="Output" xfId="76"/>
    <cellStyle name="Percent" xfId="77"/>
    <cellStyle name="Percent 00.00% L Black" xfId="78"/>
    <cellStyle name="Percent 00.00% U Blue" xfId="79"/>
    <cellStyle name="Standard_Anpassen der Amortisation" xfId="80"/>
    <cellStyle name="Title" xfId="81"/>
    <cellStyle name="Total" xfId="82"/>
    <cellStyle name="Währung [0]_Compiling Utility Macros" xfId="83"/>
    <cellStyle name="Währung_Compiling Utility Macros"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inancial-management/machinery-costs.html" TargetMode="External" /><Relationship Id="rId3" Type="http://schemas.openxmlformats.org/officeDocument/2006/relationships/hyperlink" Target="http://www.gov.mb.ca/agriculture/business-and-economics/financial-management/cost-of-production.html" TargetMode="External" /><Relationship Id="rId4" Type="http://schemas.openxmlformats.org/officeDocument/2006/relationships/hyperlink" Target="http://www.gov.mb.ca/agriculture/contact/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gov.mb.ca/agriculture/contact/index.html" TargetMode="External" /><Relationship Id="rId2" Type="http://schemas.openxmlformats.org/officeDocument/2006/relationships/hyperlink" Target="http://www.gov.mb.ca/agriculture/business-and-economics/farm-business-management-contacts.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209550</xdr:colOff>
      <xdr:row>0</xdr:row>
      <xdr:rowOff>133350</xdr:rowOff>
    </xdr:from>
    <xdr:to>
      <xdr:col>9</xdr:col>
      <xdr:colOff>171450</xdr:colOff>
      <xdr:row>2</xdr:row>
      <xdr:rowOff>76200</xdr:rowOff>
    </xdr:to>
    <xdr:pic>
      <xdr:nvPicPr>
        <xdr:cNvPr id="1" name="Picture 2" descr="GovMB_Logo_blk10.jpg"/>
        <xdr:cNvPicPr preferRelativeResize="1">
          <a:picLocks noChangeAspect="1"/>
        </xdr:cNvPicPr>
      </xdr:nvPicPr>
      <xdr:blipFill>
        <a:blip r:embed="rId1"/>
        <a:stretch>
          <a:fillRect/>
        </a:stretch>
      </xdr:blipFill>
      <xdr:spPr>
        <a:xfrm>
          <a:off x="5353050" y="133350"/>
          <a:ext cx="1524000" cy="323850"/>
        </a:xfrm>
        <a:prstGeom prst="rect">
          <a:avLst/>
        </a:prstGeom>
        <a:noFill/>
        <a:ln w="9525" cmpd="sng">
          <a:noFill/>
        </a:ln>
      </xdr:spPr>
    </xdr:pic>
    <xdr:clientData/>
  </xdr:twoCellAnchor>
  <xdr:twoCellAnchor>
    <xdr:from>
      <xdr:col>0</xdr:col>
      <xdr:colOff>428625</xdr:colOff>
      <xdr:row>29</xdr:row>
      <xdr:rowOff>9525</xdr:rowOff>
    </xdr:from>
    <xdr:to>
      <xdr:col>6</xdr:col>
      <xdr:colOff>66675</xdr:colOff>
      <xdr:row>30</xdr:row>
      <xdr:rowOff>28575</xdr:rowOff>
    </xdr:to>
    <xdr:sp>
      <xdr:nvSpPr>
        <xdr:cNvPr id="2" name="TextBox 2">
          <a:hlinkClick r:id="rId2"/>
        </xdr:cNvPr>
        <xdr:cNvSpPr txBox="1">
          <a:spLocks noChangeArrowheads="1"/>
        </xdr:cNvSpPr>
      </xdr:nvSpPr>
      <xdr:spPr>
        <a:xfrm>
          <a:off x="428625" y="6477000"/>
          <a:ext cx="4000500" cy="247650"/>
        </a:xfrm>
        <a:prstGeom prst="rect">
          <a:avLst/>
        </a:prstGeom>
        <a:noFill/>
        <a:ln w="9525" cmpd="sng">
          <a:noFill/>
        </a:ln>
      </xdr:spPr>
      <xdr:txBody>
        <a:bodyPr vertOverflow="clip" wrap="square" anchor="b"/>
        <a:p>
          <a:pPr algn="l">
            <a:defRPr/>
          </a:pPr>
          <a:r>
            <a:rPr lang="en-US" cap="none" sz="1200" b="1" i="1" u="sng" baseline="0">
              <a:solidFill>
                <a:srgbClr val="0000FF"/>
              </a:solidFill>
            </a:rPr>
            <a:t>The Farm Machinery Custom and Rental Rate Guide</a:t>
          </a:r>
        </a:p>
      </xdr:txBody>
    </xdr:sp>
    <xdr:clientData/>
  </xdr:twoCellAnchor>
  <xdr:twoCellAnchor>
    <xdr:from>
      <xdr:col>5</xdr:col>
      <xdr:colOff>552450</xdr:colOff>
      <xdr:row>27</xdr:row>
      <xdr:rowOff>9525</xdr:rowOff>
    </xdr:from>
    <xdr:to>
      <xdr:col>9</xdr:col>
      <xdr:colOff>266700</xdr:colOff>
      <xdr:row>28</xdr:row>
      <xdr:rowOff>28575</xdr:rowOff>
    </xdr:to>
    <xdr:sp>
      <xdr:nvSpPr>
        <xdr:cNvPr id="3" name="TextBox 3">
          <a:hlinkClick r:id="rId3"/>
        </xdr:cNvPr>
        <xdr:cNvSpPr txBox="1">
          <a:spLocks noChangeArrowheads="1"/>
        </xdr:cNvSpPr>
      </xdr:nvSpPr>
      <xdr:spPr>
        <a:xfrm>
          <a:off x="4133850" y="6019800"/>
          <a:ext cx="2838450" cy="247650"/>
        </a:xfrm>
        <a:prstGeom prst="rect">
          <a:avLst/>
        </a:prstGeom>
        <a:noFill/>
        <a:ln w="9525" cmpd="sng">
          <a:noFill/>
        </a:ln>
      </xdr:spPr>
      <xdr:txBody>
        <a:bodyPr vertOverflow="clip" wrap="square" anchor="b"/>
        <a:p>
          <a:pPr algn="l">
            <a:defRPr/>
          </a:pPr>
          <a:r>
            <a:rPr lang="en-US" cap="none" sz="1200" b="1" i="0" u="sng" baseline="0">
              <a:solidFill>
                <a:srgbClr val="0000FF"/>
              </a:solidFill>
            </a:rPr>
            <a:t>www.manitoba.ca/agriculture</a:t>
          </a:r>
        </a:p>
      </xdr:txBody>
    </xdr:sp>
    <xdr:clientData/>
  </xdr:twoCellAnchor>
  <xdr:twoCellAnchor>
    <xdr:from>
      <xdr:col>2</xdr:col>
      <xdr:colOff>381000</xdr:colOff>
      <xdr:row>27</xdr:row>
      <xdr:rowOff>190500</xdr:rowOff>
    </xdr:from>
    <xdr:to>
      <xdr:col>5</xdr:col>
      <xdr:colOff>666750</xdr:colOff>
      <xdr:row>29</xdr:row>
      <xdr:rowOff>38100</xdr:rowOff>
    </xdr:to>
    <xdr:sp>
      <xdr:nvSpPr>
        <xdr:cNvPr id="4" name="TextBox 4">
          <a:hlinkClick r:id="rId4"/>
        </xdr:cNvPr>
        <xdr:cNvSpPr txBox="1">
          <a:spLocks noChangeArrowheads="1"/>
        </xdr:cNvSpPr>
      </xdr:nvSpPr>
      <xdr:spPr>
        <a:xfrm>
          <a:off x="1619250" y="6200775"/>
          <a:ext cx="2628900" cy="304800"/>
        </a:xfrm>
        <a:prstGeom prst="rect">
          <a:avLst/>
        </a:prstGeom>
        <a:noFill/>
        <a:ln w="9525" cmpd="sng">
          <a:noFill/>
        </a:ln>
      </xdr:spPr>
      <xdr:txBody>
        <a:bodyPr vertOverflow="clip" wrap="square" anchor="b"/>
        <a:p>
          <a:pPr algn="l">
            <a:defRPr/>
          </a:pPr>
          <a:r>
            <a:rPr lang="en-US" cap="none" sz="1200" b="1" i="0" u="sng" baseline="0">
              <a:solidFill>
                <a:srgbClr val="0000FF"/>
              </a:solidFill>
              <a:latin typeface="Arial"/>
              <a:ea typeface="Arial"/>
              <a:cs typeface="Arial"/>
            </a:rPr>
            <a:t>Manitoba Agriculture Office</a:t>
          </a:r>
          <a:r>
            <a:rPr lang="en-US" cap="none" sz="1400" b="1" i="0" u="sng" baseline="0">
              <a:solidFill>
                <a:srgbClr val="0000FF"/>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876300</xdr:colOff>
      <xdr:row>549</xdr:row>
      <xdr:rowOff>38100</xdr:rowOff>
    </xdr:from>
    <xdr:to>
      <xdr:col>9</xdr:col>
      <xdr:colOff>438150</xdr:colOff>
      <xdr:row>549</xdr:row>
      <xdr:rowOff>285750</xdr:rowOff>
    </xdr:to>
    <xdr:sp>
      <xdr:nvSpPr>
        <xdr:cNvPr id="1" name="TextBox 1">
          <a:hlinkClick r:id="rId1"/>
        </xdr:cNvPr>
        <xdr:cNvSpPr txBox="1">
          <a:spLocks noChangeArrowheads="1"/>
        </xdr:cNvSpPr>
      </xdr:nvSpPr>
      <xdr:spPr>
        <a:xfrm>
          <a:off x="3028950" y="106013250"/>
          <a:ext cx="2771775" cy="247650"/>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Office </a:t>
          </a:r>
          <a:r>
            <a:rPr lang="en-US" cap="none" sz="1200" b="1" i="0" u="none" baseline="0">
              <a:solidFill>
                <a:srgbClr val="000000"/>
              </a:solidFill>
              <a:latin typeface="Arial"/>
              <a:ea typeface="Arial"/>
              <a:cs typeface="Arial"/>
            </a:rPr>
            <a:t>or:</a:t>
          </a:r>
        </a:p>
      </xdr:txBody>
    </xdr:sp>
    <xdr:clientData/>
  </xdr:twoCellAnchor>
  <xdr:twoCellAnchor>
    <xdr:from>
      <xdr:col>3</xdr:col>
      <xdr:colOff>266700</xdr:colOff>
      <xdr:row>546</xdr:row>
      <xdr:rowOff>152400</xdr:rowOff>
    </xdr:from>
    <xdr:to>
      <xdr:col>9</xdr:col>
      <xdr:colOff>0</xdr:colOff>
      <xdr:row>548</xdr:row>
      <xdr:rowOff>0</xdr:rowOff>
    </xdr:to>
    <xdr:sp>
      <xdr:nvSpPr>
        <xdr:cNvPr id="2" name="TextBox 2">
          <a:hlinkClick r:id="rId2"/>
        </xdr:cNvPr>
        <xdr:cNvSpPr txBox="1">
          <a:spLocks noChangeArrowheads="1"/>
        </xdr:cNvSpPr>
      </xdr:nvSpPr>
      <xdr:spPr>
        <a:xfrm>
          <a:off x="2114550" y="105651300"/>
          <a:ext cx="3248025" cy="228600"/>
        </a:xfrm>
        <a:prstGeom prst="rect">
          <a:avLst/>
        </a:prstGeom>
        <a:noFill/>
        <a:ln w="9525" cmpd="sng">
          <a:noFill/>
        </a:ln>
      </xdr:spPr>
      <xdr:txBody>
        <a:bodyPr vertOverflow="clip" wrap="square"/>
        <a:p>
          <a:pPr algn="l">
            <a:defRPr/>
          </a:pPr>
          <a:r>
            <a:rPr lang="en-US" cap="none" sz="1200" b="1" i="0" u="sng" baseline="0">
              <a:solidFill>
                <a:srgbClr val="0000FF"/>
              </a:solidFill>
            </a:rPr>
            <a:t>Manitoba Agriculture Farm Management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hyperlink" Target="mailto:wray.whitmore@gov.mb.ca" TargetMode="External" /><Relationship Id="rId3" Type="http://schemas.openxmlformats.org/officeDocument/2006/relationships/hyperlink" Target="mailto:Benjamin.Hamm@gov.mb.ca" TargetMode="External" /><Relationship Id="rId4" Type="http://schemas.openxmlformats.org/officeDocument/2006/relationships/hyperlink" Target="mailto:robert.berry@gov.mb.ca" TargetMode="External" /><Relationship Id="rId5" Type="http://schemas.openxmlformats.org/officeDocument/2006/relationships/hyperlink" Target="mailto:linda.fox@gov.mb.ca" TargetMode="External" /><Relationship Id="rId6" Type="http://schemas.openxmlformats.org/officeDocument/2006/relationships/drawing" Target="../drawings/drawing2.xml" /><Relationship Id="rId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J113"/>
  <sheetViews>
    <sheetView showGridLines="0" tabSelected="1" zoomScalePageLayoutView="0" workbookViewId="0" topLeftCell="A1">
      <selection activeCell="A1" sqref="A1"/>
    </sheetView>
  </sheetViews>
  <sheetFormatPr defaultColWidth="10.28125" defaultRowHeight="12.75"/>
  <cols>
    <col min="1" max="1" width="6.8515625" style="2" customWidth="1"/>
    <col min="2" max="9" width="11.7109375" style="2" customWidth="1"/>
    <col min="10" max="10" width="6.8515625" style="2" customWidth="1"/>
    <col min="11" max="11" width="21.8515625" style="2" customWidth="1"/>
    <col min="12" max="16384" width="10.28125" style="2" customWidth="1"/>
  </cols>
  <sheetData>
    <row r="1" s="196" customFormat="1" ht="15"/>
    <row r="2" spans="1:10" s="196" customFormat="1" ht="15">
      <c r="A2" s="197"/>
      <c r="B2" s="197"/>
      <c r="C2" s="197"/>
      <c r="D2" s="197"/>
      <c r="E2" s="197"/>
      <c r="F2" s="197"/>
      <c r="G2" s="197"/>
      <c r="H2" s="197"/>
      <c r="I2" s="197"/>
      <c r="J2" s="197"/>
    </row>
    <row r="3" spans="1:10" s="200" customFormat="1" ht="27">
      <c r="A3" s="198" t="s">
        <v>398</v>
      </c>
      <c r="B3" s="199"/>
      <c r="C3" s="199"/>
      <c r="D3" s="199"/>
      <c r="E3" s="199"/>
      <c r="F3" s="199"/>
      <c r="G3" s="199"/>
      <c r="H3" s="199"/>
      <c r="I3" s="199"/>
      <c r="J3" s="199"/>
    </row>
    <row r="4" spans="1:10" s="200" customFormat="1" ht="15" customHeight="1">
      <c r="A4" s="198"/>
      <c r="B4" s="199"/>
      <c r="C4" s="199"/>
      <c r="D4" s="199"/>
      <c r="E4" s="199"/>
      <c r="F4" s="199"/>
      <c r="G4" s="199"/>
      <c r="H4" s="199"/>
      <c r="I4" s="199"/>
      <c r="J4" s="199"/>
    </row>
    <row r="5" spans="2:9" ht="20.25">
      <c r="B5" s="368" t="s">
        <v>216</v>
      </c>
      <c r="C5" s="368"/>
      <c r="D5" s="368"/>
      <c r="E5" s="368"/>
      <c r="F5" s="368"/>
      <c r="G5" s="368"/>
      <c r="H5" s="368"/>
      <c r="I5" s="368"/>
    </row>
    <row r="6" spans="2:9" ht="26.25">
      <c r="B6" s="369" t="s">
        <v>339</v>
      </c>
      <c r="C6" s="369"/>
      <c r="D6" s="369"/>
      <c r="E6" s="369"/>
      <c r="F6" s="369"/>
      <c r="G6" s="369"/>
      <c r="H6" s="369"/>
      <c r="I6" s="369"/>
    </row>
    <row r="7" spans="2:9" ht="20.25">
      <c r="B7" s="368" t="str">
        <f>"Based on a "&amp;Input!H10&amp;"-Ewe Flock"</f>
        <v>Based on a 500-Ewe Flock</v>
      </c>
      <c r="C7" s="368"/>
      <c r="D7" s="368"/>
      <c r="E7" s="368"/>
      <c r="F7" s="368"/>
      <c r="G7" s="368"/>
      <c r="H7" s="368"/>
      <c r="I7" s="368"/>
    </row>
    <row r="10" ht="15.75">
      <c r="I10" s="10" t="s">
        <v>485</v>
      </c>
    </row>
    <row r="11" ht="15.75" customHeight="1">
      <c r="B11" s="8"/>
    </row>
    <row r="12" ht="15.75" customHeight="1">
      <c r="B12" s="8"/>
    </row>
    <row r="13" ht="15.75" customHeight="1">
      <c r="B13" s="8"/>
    </row>
    <row r="14" spans="2:9" s="201" customFormat="1" ht="15" customHeight="1">
      <c r="B14" s="370" t="s">
        <v>417</v>
      </c>
      <c r="C14" s="370"/>
      <c r="D14" s="370"/>
      <c r="E14" s="370"/>
      <c r="F14" s="370"/>
      <c r="G14" s="370"/>
      <c r="H14" s="370"/>
      <c r="I14" s="370"/>
    </row>
    <row r="15" spans="2:9" s="201" customFormat="1" ht="15" customHeight="1">
      <c r="B15" s="370"/>
      <c r="C15" s="370"/>
      <c r="D15" s="370"/>
      <c r="E15" s="370"/>
      <c r="F15" s="370"/>
      <c r="G15" s="370"/>
      <c r="H15" s="370"/>
      <c r="I15" s="370"/>
    </row>
    <row r="16" spans="2:9" s="201" customFormat="1" ht="18.75" customHeight="1">
      <c r="B16" s="370"/>
      <c r="C16" s="370"/>
      <c r="D16" s="370"/>
      <c r="E16" s="370"/>
      <c r="F16" s="370"/>
      <c r="G16" s="370"/>
      <c r="H16" s="370"/>
      <c r="I16" s="370"/>
    </row>
    <row r="17" spans="2:9" s="201" customFormat="1" ht="18.75" customHeight="1">
      <c r="B17" s="370"/>
      <c r="C17" s="370"/>
      <c r="D17" s="370"/>
      <c r="E17" s="370"/>
      <c r="F17" s="370"/>
      <c r="G17" s="370"/>
      <c r="H17" s="370"/>
      <c r="I17" s="370"/>
    </row>
    <row r="18" spans="2:9" s="201" customFormat="1" ht="18.75" customHeight="1">
      <c r="B18" s="370"/>
      <c r="C18" s="370"/>
      <c r="D18" s="370"/>
      <c r="E18" s="370"/>
      <c r="F18" s="370"/>
      <c r="G18" s="370"/>
      <c r="H18" s="370"/>
      <c r="I18" s="370"/>
    </row>
    <row r="19" spans="2:9" s="201" customFormat="1" ht="25.5" customHeight="1">
      <c r="B19" s="370"/>
      <c r="C19" s="370"/>
      <c r="D19" s="370"/>
      <c r="E19" s="370"/>
      <c r="F19" s="370"/>
      <c r="G19" s="370"/>
      <c r="H19" s="370"/>
      <c r="I19" s="370"/>
    </row>
    <row r="20" spans="2:9" s="201" customFormat="1" ht="18.75" customHeight="1">
      <c r="B20" s="370"/>
      <c r="C20" s="370"/>
      <c r="D20" s="370"/>
      <c r="E20" s="370"/>
      <c r="F20" s="370"/>
      <c r="G20" s="370"/>
      <c r="H20" s="370"/>
      <c r="I20" s="370"/>
    </row>
    <row r="21" spans="2:9" s="201" customFormat="1" ht="18">
      <c r="B21" s="202"/>
      <c r="C21" s="202"/>
      <c r="D21" s="202"/>
      <c r="E21" s="202"/>
      <c r="F21" s="202"/>
      <c r="G21" s="202"/>
      <c r="H21" s="202"/>
      <c r="I21" s="202"/>
    </row>
    <row r="22" spans="2:9" s="201" customFormat="1" ht="15" customHeight="1">
      <c r="B22" s="370" t="s">
        <v>414</v>
      </c>
      <c r="C22" s="370"/>
      <c r="D22" s="370"/>
      <c r="E22" s="370"/>
      <c r="F22" s="370"/>
      <c r="G22" s="370"/>
      <c r="H22" s="370"/>
      <c r="I22" s="370"/>
    </row>
    <row r="23" spans="2:9" s="201" customFormat="1" ht="15" customHeight="1">
      <c r="B23" s="370"/>
      <c r="C23" s="370"/>
      <c r="D23" s="370"/>
      <c r="E23" s="370"/>
      <c r="F23" s="370"/>
      <c r="G23" s="370"/>
      <c r="H23" s="370"/>
      <c r="I23" s="370"/>
    </row>
    <row r="24" spans="2:9" s="201" customFormat="1" ht="15" customHeight="1">
      <c r="B24" s="370"/>
      <c r="C24" s="370"/>
      <c r="D24" s="370"/>
      <c r="E24" s="370"/>
      <c r="F24" s="370"/>
      <c r="G24" s="370"/>
      <c r="H24" s="370"/>
      <c r="I24" s="370"/>
    </row>
    <row r="25" spans="2:9" s="201" customFormat="1" ht="15" customHeight="1">
      <c r="B25" s="370"/>
      <c r="C25" s="370"/>
      <c r="D25" s="370"/>
      <c r="E25" s="370"/>
      <c r="F25" s="370"/>
      <c r="G25" s="370"/>
      <c r="H25" s="370"/>
      <c r="I25" s="370"/>
    </row>
    <row r="26" spans="2:9" s="201" customFormat="1" ht="18.75" customHeight="1">
      <c r="B26" s="370"/>
      <c r="C26" s="370"/>
      <c r="D26" s="370"/>
      <c r="E26" s="370"/>
      <c r="F26" s="370"/>
      <c r="G26" s="370"/>
      <c r="H26" s="370"/>
      <c r="I26" s="370"/>
    </row>
    <row r="27" spans="2:9" s="201" customFormat="1" ht="18.75" customHeight="1">
      <c r="B27" s="252"/>
      <c r="C27" s="252"/>
      <c r="D27" s="252"/>
      <c r="E27" s="252"/>
      <c r="F27" s="252"/>
      <c r="G27" s="252"/>
      <c r="H27" s="252"/>
      <c r="I27" s="252"/>
    </row>
    <row r="28" spans="2:10" s="196" customFormat="1" ht="18" customHeight="1">
      <c r="B28" s="253" t="s">
        <v>412</v>
      </c>
      <c r="C28" s="253"/>
      <c r="D28" s="253"/>
      <c r="E28" s="253"/>
      <c r="F28" s="253"/>
      <c r="G28" s="253"/>
      <c r="H28" s="253"/>
      <c r="I28" s="253"/>
      <c r="J28" s="253"/>
    </row>
    <row r="29" spans="2:10" s="196" customFormat="1" ht="18" customHeight="1">
      <c r="B29" s="253" t="s">
        <v>413</v>
      </c>
      <c r="C29" s="253"/>
      <c r="D29" s="253"/>
      <c r="E29" s="253"/>
      <c r="F29" s="253"/>
      <c r="G29" s="253"/>
      <c r="H29" s="253"/>
      <c r="I29" s="253"/>
      <c r="J29" s="253"/>
    </row>
    <row r="30" spans="3:10" s="196" customFormat="1" ht="18" customHeight="1">
      <c r="C30" s="254"/>
      <c r="D30" s="254"/>
      <c r="E30" s="254"/>
      <c r="G30" s="253" t="s">
        <v>419</v>
      </c>
      <c r="H30" s="254"/>
      <c r="I30" s="254"/>
      <c r="J30" s="254"/>
    </row>
    <row r="31" spans="2:10" s="196" customFormat="1" ht="18" customHeight="1">
      <c r="B31" s="253" t="s">
        <v>418</v>
      </c>
      <c r="C31" s="254"/>
      <c r="D31" s="254"/>
      <c r="E31" s="254"/>
      <c r="G31" s="253"/>
      <c r="H31" s="254"/>
      <c r="I31" s="254"/>
      <c r="J31" s="254"/>
    </row>
    <row r="32" spans="2:9" s="201" customFormat="1" ht="15" customHeight="1">
      <c r="B32" s="202"/>
      <c r="C32" s="202"/>
      <c r="D32" s="202"/>
      <c r="E32" s="202"/>
      <c r="F32" s="202"/>
      <c r="G32" s="202"/>
      <c r="H32" s="202"/>
      <c r="I32" s="202"/>
    </row>
    <row r="33" spans="2:10" s="196" customFormat="1" ht="18" customHeight="1">
      <c r="B33" s="367" t="s">
        <v>486</v>
      </c>
      <c r="C33" s="367"/>
      <c r="D33" s="367"/>
      <c r="E33" s="367"/>
      <c r="F33" s="367"/>
      <c r="G33" s="367"/>
      <c r="H33" s="367"/>
      <c r="I33" s="367"/>
      <c r="J33" s="203"/>
    </row>
    <row r="34" spans="2:10" s="196" customFormat="1" ht="18" customHeight="1">
      <c r="B34" s="367"/>
      <c r="C34" s="367"/>
      <c r="D34" s="367"/>
      <c r="E34" s="367"/>
      <c r="F34" s="367"/>
      <c r="G34" s="367"/>
      <c r="H34" s="367"/>
      <c r="I34" s="367"/>
      <c r="J34" s="203"/>
    </row>
    <row r="35" spans="2:10" s="196" customFormat="1" ht="18" customHeight="1">
      <c r="B35" s="367"/>
      <c r="C35" s="367"/>
      <c r="D35" s="367"/>
      <c r="E35" s="367"/>
      <c r="F35" s="367"/>
      <c r="G35" s="367"/>
      <c r="H35" s="367"/>
      <c r="I35" s="367"/>
      <c r="J35" s="203"/>
    </row>
    <row r="39" spans="6:7" ht="15">
      <c r="F39" s="3"/>
      <c r="G39" s="3"/>
    </row>
    <row r="40" ht="15">
      <c r="D40" s="3"/>
    </row>
    <row r="113" ht="15">
      <c r="B113" s="3"/>
    </row>
  </sheetData>
  <sheetProtection password="C6A6" sheet="1"/>
  <mergeCells count="6">
    <mergeCell ref="B33:I35"/>
    <mergeCell ref="B5:I5"/>
    <mergeCell ref="B6:I6"/>
    <mergeCell ref="B7:I7"/>
    <mergeCell ref="B14:I20"/>
    <mergeCell ref="B22:I26"/>
  </mergeCells>
  <printOptions/>
  <pageMargins left="0.5118110236220472" right="0.3937007874015748" top="0.8267716535433072" bottom="0.6692913385826772" header="0.5118110236220472" footer="0.5118110236220472"/>
  <pageSetup fitToHeight="1" fitToWidth="1" horizontalDpi="600" verticalDpi="600" orientation="portrait" scale="90" r:id="rId3"/>
  <drawing r:id="rId2"/>
  <legacy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2:N75"/>
  <sheetViews>
    <sheetView zoomScalePageLayoutView="0" workbookViewId="0" topLeftCell="A1">
      <selection activeCell="A2" sqref="A2:L2"/>
    </sheetView>
  </sheetViews>
  <sheetFormatPr defaultColWidth="9.140625" defaultRowHeight="12.75"/>
  <cols>
    <col min="1" max="1" width="5.28125" style="2" customWidth="1"/>
    <col min="2" max="2" width="9.140625" style="2" customWidth="1"/>
    <col min="3" max="3" width="26.7109375" style="2" customWidth="1"/>
    <col min="4" max="4" width="10.7109375" style="2" customWidth="1"/>
    <col min="5" max="5" width="2.7109375" style="2" customWidth="1"/>
    <col min="6" max="6" width="10.7109375" style="2" customWidth="1"/>
    <col min="7" max="7" width="2.7109375" style="2" customWidth="1"/>
    <col min="8" max="8" width="8.8515625" style="2" customWidth="1"/>
    <col min="9" max="9" width="2.7109375" style="2" customWidth="1"/>
    <col min="10" max="10" width="12.140625" style="2" customWidth="1"/>
    <col min="11" max="11" width="2.7109375" style="2" customWidth="1"/>
    <col min="12" max="12" width="12.28125" style="2" customWidth="1"/>
    <col min="13" max="16384" width="9.140625" style="2" customWidth="1"/>
  </cols>
  <sheetData>
    <row r="1" ht="7.5" customHeight="1"/>
    <row r="2" spans="1:12" ht="18">
      <c r="A2" s="372" t="str">
        <f>"Lamb Production Cost Summary  -  "&amp;Introduction!I10&amp;""</f>
        <v>Lamb Production Cost Summary  -  May, 2018</v>
      </c>
      <c r="B2" s="372"/>
      <c r="C2" s="372"/>
      <c r="D2" s="372"/>
      <c r="E2" s="372"/>
      <c r="F2" s="372"/>
      <c r="G2" s="372"/>
      <c r="H2" s="372"/>
      <c r="I2" s="372"/>
      <c r="J2" s="372"/>
      <c r="K2" s="372"/>
      <c r="L2" s="372"/>
    </row>
    <row r="3" spans="1:12" ht="18">
      <c r="A3" s="372" t="str">
        <f>"Based on "&amp;Input!H10&amp;" Ewes - Marketing "&amp;Input!H17&amp;" Lambs"</f>
        <v>Based on 500 Ewes - Marketing 931 Lambs</v>
      </c>
      <c r="B3" s="372"/>
      <c r="C3" s="372"/>
      <c r="D3" s="372"/>
      <c r="E3" s="372"/>
      <c r="F3" s="372"/>
      <c r="G3" s="372"/>
      <c r="H3" s="372"/>
      <c r="I3" s="372"/>
      <c r="J3" s="372"/>
      <c r="K3" s="372"/>
      <c r="L3" s="372"/>
    </row>
    <row r="4" spans="2:12" ht="7.5" customHeight="1">
      <c r="B4" s="84"/>
      <c r="C4" s="105"/>
      <c r="D4" s="105"/>
      <c r="E4" s="105"/>
      <c r="F4" s="105"/>
      <c r="G4" s="105"/>
      <c r="H4" s="105"/>
      <c r="I4" s="105"/>
      <c r="J4" s="105"/>
      <c r="K4" s="105"/>
      <c r="L4" s="105"/>
    </row>
    <row r="5" spans="2:10" ht="15.75">
      <c r="B5" s="1"/>
      <c r="F5" s="38" t="s">
        <v>347</v>
      </c>
      <c r="H5" s="1"/>
      <c r="J5" s="1"/>
    </row>
    <row r="6" spans="1:12" ht="15.75">
      <c r="A6" s="1" t="s">
        <v>0</v>
      </c>
      <c r="D6" s="14" t="s">
        <v>72</v>
      </c>
      <c r="E6" s="19"/>
      <c r="F6" s="19" t="s">
        <v>1</v>
      </c>
      <c r="H6" s="14" t="s">
        <v>254</v>
      </c>
      <c r="J6" s="14" t="s">
        <v>368</v>
      </c>
      <c r="L6" s="34" t="s">
        <v>253</v>
      </c>
    </row>
    <row r="7" ht="15.75">
      <c r="B7" s="1" t="s">
        <v>2</v>
      </c>
    </row>
    <row r="8" spans="2:12" ht="15">
      <c r="B8" s="3" t="s">
        <v>250</v>
      </c>
      <c r="D8" s="4">
        <f>Details!E126</f>
        <v>54.75</v>
      </c>
      <c r="E8" s="4"/>
      <c r="F8" s="4">
        <f>ROUND((Input!$H$10/Input!$H$17)*D8,2)</f>
        <v>29.4</v>
      </c>
      <c r="H8" s="13">
        <f>ROUND(F8/(Input!$H$21),2)</f>
        <v>0.28</v>
      </c>
      <c r="J8" s="30">
        <f>ROUND(D8*Input!H$10,0)</f>
        <v>27375</v>
      </c>
      <c r="L8" s="45"/>
    </row>
    <row r="9" spans="2:12" ht="15">
      <c r="B9" s="3" t="s">
        <v>251</v>
      </c>
      <c r="D9" s="27">
        <f>Details!E148</f>
        <v>1.64</v>
      </c>
      <c r="E9" s="27"/>
      <c r="F9" s="4">
        <f>ROUND((Input!$H$10/Input!$H$17)*D9,2)</f>
        <v>0.88</v>
      </c>
      <c r="H9" s="13">
        <f>ROUND(F9/(Input!$H$21),2)</f>
        <v>0.01</v>
      </c>
      <c r="J9" s="30">
        <f>ROUND(D9*Input!H$10,0)</f>
        <v>820</v>
      </c>
      <c r="L9" s="45"/>
    </row>
    <row r="10" spans="2:12" ht="15">
      <c r="B10" s="3" t="s">
        <v>313</v>
      </c>
      <c r="D10" s="27">
        <f>Details!E199</f>
        <v>77.32</v>
      </c>
      <c r="E10" s="27"/>
      <c r="F10" s="4">
        <f>ROUND((Input!$H$10/Input!$H$17)*D10,2)</f>
        <v>41.53</v>
      </c>
      <c r="H10" s="13">
        <f>ROUND(F10/(Input!$H$21),2)</f>
        <v>0.39</v>
      </c>
      <c r="J10" s="30">
        <f>ROUND(D10*Input!H$10,0)</f>
        <v>38660</v>
      </c>
      <c r="L10" s="45"/>
    </row>
    <row r="11" spans="2:12" ht="15">
      <c r="B11" s="3" t="s">
        <v>252</v>
      </c>
      <c r="D11" s="47">
        <f>Details!E218</f>
        <v>25.33</v>
      </c>
      <c r="E11" s="47"/>
      <c r="F11" s="29">
        <f>ROUND((Input!$H$10/Input!$H$17)*D11,2)</f>
        <v>13.6</v>
      </c>
      <c r="H11" s="26">
        <f>ROUND(F11/(Input!$H$21),2)</f>
        <v>0.13</v>
      </c>
      <c r="J11" s="31">
        <f>ROUND(D11*Input!H$10,0)</f>
        <v>12665</v>
      </c>
      <c r="L11" s="45"/>
    </row>
    <row r="12" spans="2:12" ht="15.75">
      <c r="B12" s="1" t="s">
        <v>4</v>
      </c>
      <c r="D12" s="6">
        <f>SUM(D8:D11)</f>
        <v>159.03999999999996</v>
      </c>
      <c r="E12" s="6"/>
      <c r="F12" s="6">
        <f>SUM(F8:F11)</f>
        <v>85.41</v>
      </c>
      <c r="G12" s="20"/>
      <c r="H12" s="33">
        <f>SUM(H8:H11)</f>
        <v>0.81</v>
      </c>
      <c r="J12" s="43">
        <f>SUM(J8:J11)</f>
        <v>79520</v>
      </c>
      <c r="L12" s="45"/>
    </row>
    <row r="13" ht="15.75">
      <c r="B13" s="1" t="s">
        <v>5</v>
      </c>
    </row>
    <row r="14" spans="2:12" ht="15">
      <c r="B14" s="3" t="s">
        <v>73</v>
      </c>
      <c r="D14" s="4">
        <f>Details!E239</f>
        <v>15.709999999999999</v>
      </c>
      <c r="E14" s="4"/>
      <c r="F14" s="4">
        <f>ROUND((Input!$H$10/Input!$H$17)*D14,2)</f>
        <v>8.44</v>
      </c>
      <c r="H14" s="13">
        <f>ROUND(F14/(Input!$H$21),2)</f>
        <v>0.08</v>
      </c>
      <c r="J14" s="30">
        <f>ROUND(D14*Input!H$10,0)</f>
        <v>7855</v>
      </c>
      <c r="L14" s="45"/>
    </row>
    <row r="15" spans="2:12" ht="15">
      <c r="B15" s="3" t="s">
        <v>74</v>
      </c>
      <c r="D15" s="27">
        <f>Details!E273</f>
        <v>14.719999999999999</v>
      </c>
      <c r="E15" s="5"/>
      <c r="F15" s="4">
        <f>ROUND((Input!$H$10/Input!$H$17)*D15,2)</f>
        <v>7.91</v>
      </c>
      <c r="H15" s="13">
        <f>ROUND(F15/(Input!$H$21),2)</f>
        <v>0.07</v>
      </c>
      <c r="J15" s="30">
        <f>ROUND(D15*Input!H$10,0)</f>
        <v>7360</v>
      </c>
      <c r="L15" s="45"/>
    </row>
    <row r="16" spans="2:12" ht="15">
      <c r="B16" s="3" t="s">
        <v>481</v>
      </c>
      <c r="D16" s="27">
        <f>Details!E298</f>
        <v>9.3885</v>
      </c>
      <c r="E16" s="5"/>
      <c r="F16" s="4">
        <f>ROUND((Input!$H$10/Input!$H$17)*D16,2)</f>
        <v>5.04</v>
      </c>
      <c r="H16" s="13">
        <f>ROUND(F16/(Input!$H$21),2)</f>
        <v>0.05</v>
      </c>
      <c r="J16" s="30">
        <f>ROUND(D16*Input!H$10,0)</f>
        <v>4694</v>
      </c>
      <c r="L16" s="45"/>
    </row>
    <row r="17" spans="2:12" ht="15">
      <c r="B17" s="3" t="s">
        <v>75</v>
      </c>
      <c r="D17" s="27">
        <f>Details!E306</f>
        <v>2.43</v>
      </c>
      <c r="E17" s="5"/>
      <c r="F17" s="4">
        <f>ROUND((Input!$H$10/Input!$H$17)*D17,2)</f>
        <v>1.31</v>
      </c>
      <c r="H17" s="13">
        <f>ROUND(F17/(Input!$H$21),2)</f>
        <v>0.01</v>
      </c>
      <c r="J17" s="30">
        <f>ROUND(D17*Input!H$10,0)</f>
        <v>1215</v>
      </c>
      <c r="L17" s="45"/>
    </row>
    <row r="18" spans="2:12" ht="15">
      <c r="B18" s="3" t="s">
        <v>76</v>
      </c>
      <c r="D18" s="27">
        <f>Details!E318</f>
        <v>7.144736842105263</v>
      </c>
      <c r="E18" s="5"/>
      <c r="F18" s="4">
        <f>ROUND((Input!$H$10/Input!$H$17)*D18,2)</f>
        <v>3.84</v>
      </c>
      <c r="H18" s="13">
        <f>ROUND(F18/(Input!$H$21),2)</f>
        <v>0.04</v>
      </c>
      <c r="J18" s="30">
        <f>ROUND(D18*Input!H$10,0)</f>
        <v>3572</v>
      </c>
      <c r="L18" s="45"/>
    </row>
    <row r="19" spans="2:12" ht="15">
      <c r="B19" s="3" t="s">
        <v>269</v>
      </c>
      <c r="D19" s="27">
        <f>Details!E338</f>
        <v>2.95</v>
      </c>
      <c r="E19" s="5"/>
      <c r="F19" s="4">
        <f>ROUND((Input!$H$10/Input!$H$17)*D19,2)</f>
        <v>1.58</v>
      </c>
      <c r="H19" s="13">
        <f>ROUND(F19/(Input!$H$21),2)</f>
        <v>0.01</v>
      </c>
      <c r="J19" s="30">
        <f>ROUND(D19*Input!H$10,0)</f>
        <v>1475</v>
      </c>
      <c r="L19" s="45"/>
    </row>
    <row r="20" spans="2:12" ht="15">
      <c r="B20" s="3" t="s">
        <v>270</v>
      </c>
      <c r="D20" s="27">
        <f>Details!E363</f>
        <v>12.72</v>
      </c>
      <c r="E20" s="5"/>
      <c r="F20" s="4">
        <f>ROUND((Input!$H$10/Input!$H$17)*D20,2)</f>
        <v>6.83</v>
      </c>
      <c r="H20" s="13">
        <f>ROUND(F20/(Input!$H$21),2)</f>
        <v>0.06</v>
      </c>
      <c r="J20" s="30">
        <f>ROUND(D20*Input!H$10,0)</f>
        <v>6360</v>
      </c>
      <c r="L20" s="45"/>
    </row>
    <row r="21" spans="2:12" ht="15">
      <c r="B21" s="3" t="s">
        <v>271</v>
      </c>
      <c r="D21" s="27">
        <f>Details!E374</f>
        <v>23.72</v>
      </c>
      <c r="E21" s="5"/>
      <c r="F21" s="4">
        <f>ROUND((Input!$H$10/Input!$H$17)*D21,2)</f>
        <v>12.74</v>
      </c>
      <c r="H21" s="13">
        <f>ROUND(F21/(Input!$H$21),2)</f>
        <v>0.12</v>
      </c>
      <c r="J21" s="30">
        <f>ROUND(D21*Input!H$10,0)</f>
        <v>11860</v>
      </c>
      <c r="L21" s="45"/>
    </row>
    <row r="22" spans="2:12" ht="15">
      <c r="B22" s="3" t="s">
        <v>272</v>
      </c>
      <c r="D22" s="27">
        <f>Details!E380</f>
        <v>5.26</v>
      </c>
      <c r="E22" s="5"/>
      <c r="F22" s="4">
        <f>ROUND((Input!$H$10/Input!$H$17)*D22,2)</f>
        <v>2.82</v>
      </c>
      <c r="H22" s="13">
        <f>ROUND(F22/(Input!$H$21),2)</f>
        <v>0.03</v>
      </c>
      <c r="J22" s="30">
        <f>ROUND(D22*Input!H$10,0)</f>
        <v>2630</v>
      </c>
      <c r="L22" s="45"/>
    </row>
    <row r="23" spans="2:12" ht="15">
      <c r="B23" s="3" t="s">
        <v>273</v>
      </c>
      <c r="D23" s="27">
        <f>Details!E388</f>
        <v>1.725</v>
      </c>
      <c r="E23" s="5"/>
      <c r="F23" s="4">
        <f>ROUND((Input!$H$10/Input!$H$17)*D23,2)</f>
        <v>0.93</v>
      </c>
      <c r="H23" s="13">
        <f>ROUND(F23/(Input!$H$21),2)</f>
        <v>0.01</v>
      </c>
      <c r="J23" s="30">
        <f>ROUND(D23*Input!H$10,0)</f>
        <v>863</v>
      </c>
      <c r="L23" s="45"/>
    </row>
    <row r="24" spans="2:12" ht="15">
      <c r="B24" s="3" t="s">
        <v>327</v>
      </c>
      <c r="D24" s="27">
        <f>Details!E404</f>
        <v>0.7</v>
      </c>
      <c r="E24" s="5"/>
      <c r="F24" s="4">
        <f>ROUND((Input!$H$10/Input!$H$17)*D24,2)</f>
        <v>0.38</v>
      </c>
      <c r="H24" s="13">
        <f>ROUND(F24/(Input!$H$21),2)</f>
        <v>0</v>
      </c>
      <c r="J24" s="30">
        <f>ROUND(D24*Input!H$10,0)</f>
        <v>350</v>
      </c>
      <c r="L24" s="45"/>
    </row>
    <row r="25" spans="2:13" ht="15">
      <c r="B25" s="3" t="s">
        <v>328</v>
      </c>
      <c r="D25" s="27">
        <f>Details!E414</f>
        <v>5.617016387639998</v>
      </c>
      <c r="E25" s="5"/>
      <c r="F25" s="4">
        <f>ROUND((Input!$H$10/Input!$H$17)*D25,2)</f>
        <v>3.02</v>
      </c>
      <c r="H25" s="13">
        <f>ROUND(F25/(Input!$H$21),2)</f>
        <v>0.03</v>
      </c>
      <c r="J25" s="30">
        <f>ROUND(D25*Input!H$10,0)</f>
        <v>2809</v>
      </c>
      <c r="L25" s="45"/>
      <c r="M25" s="121"/>
    </row>
    <row r="26" spans="2:12" ht="15">
      <c r="B26" s="3" t="s">
        <v>329</v>
      </c>
      <c r="D26" s="47">
        <f>Details!E419</f>
        <v>1</v>
      </c>
      <c r="E26" s="67"/>
      <c r="F26" s="29">
        <f>ROUND((Input!$H$10/Input!$H$17)*D26,2)</f>
        <v>0.54</v>
      </c>
      <c r="H26" s="26">
        <f>ROUND(F26/(Input!$H$21),2)</f>
        <v>0.01</v>
      </c>
      <c r="J26" s="31">
        <f>ROUND(D26*Input!H$10,0)</f>
        <v>500</v>
      </c>
      <c r="L26" s="45"/>
    </row>
    <row r="27" spans="2:12" ht="15.75">
      <c r="B27" s="1" t="s">
        <v>9</v>
      </c>
      <c r="D27" s="6">
        <f>SUM(D12:D26)</f>
        <v>262.12525322974517</v>
      </c>
      <c r="E27" s="6"/>
      <c r="F27" s="6">
        <f>SUM(F12:F26)</f>
        <v>140.79</v>
      </c>
      <c r="H27" s="33">
        <f>SUM(H12:H26)</f>
        <v>1.33</v>
      </c>
      <c r="J27" s="43">
        <f>SUM(J12:J26)</f>
        <v>131063</v>
      </c>
      <c r="L27" s="45"/>
    </row>
    <row r="28" spans="2:12" ht="15">
      <c r="B28" s="3" t="s">
        <v>330</v>
      </c>
      <c r="D28" s="47">
        <f>Details!E425</f>
        <v>7.54</v>
      </c>
      <c r="E28" s="47"/>
      <c r="F28" s="29">
        <f>ROUND((Input!$H$10/Input!$H$17)*D28,2)</f>
        <v>4.05</v>
      </c>
      <c r="G28" s="21"/>
      <c r="H28" s="26">
        <f>ROUND(F28/(Input!$H$21),2)</f>
        <v>0.04</v>
      </c>
      <c r="J28" s="31">
        <f>ROUND(D28*Input!H$10,0)</f>
        <v>3770</v>
      </c>
      <c r="L28" s="45"/>
    </row>
    <row r="29" spans="2:12" ht="15.75">
      <c r="B29" s="1" t="s">
        <v>10</v>
      </c>
      <c r="D29" s="6">
        <f>D27+D28</f>
        <v>269.6652532297452</v>
      </c>
      <c r="E29" s="6"/>
      <c r="F29" s="6">
        <f>F27+F28</f>
        <v>144.84</v>
      </c>
      <c r="H29" s="33">
        <f>SUM(H27+H28)</f>
        <v>1.37</v>
      </c>
      <c r="J29" s="43">
        <f>SUM(J27+J28)</f>
        <v>134833</v>
      </c>
      <c r="L29" s="45"/>
    </row>
    <row r="30" spans="2:12" ht="7.5" customHeight="1">
      <c r="B30" s="1"/>
      <c r="D30" s="6"/>
      <c r="E30" s="6"/>
      <c r="F30" s="6"/>
      <c r="H30" s="33"/>
      <c r="J30" s="33"/>
      <c r="L30" s="41"/>
    </row>
    <row r="31" ht="15.75">
      <c r="A31" s="1" t="s">
        <v>11</v>
      </c>
    </row>
    <row r="32" ht="15.75">
      <c r="B32" s="1" t="s">
        <v>12</v>
      </c>
    </row>
    <row r="33" spans="2:12" ht="15">
      <c r="B33" s="3" t="s">
        <v>77</v>
      </c>
      <c r="D33" s="4">
        <f>Details!E468</f>
        <v>9.91</v>
      </c>
      <c r="E33" s="4"/>
      <c r="F33" s="4">
        <f>ROUND((Input!$H$10/Input!$H$17)*D33,2)</f>
        <v>5.32</v>
      </c>
      <c r="H33" s="13">
        <f>ROUND(F33/(Input!$H$21),2)</f>
        <v>0.05</v>
      </c>
      <c r="J33" s="30">
        <f>ROUND(D33*Input!H$10,0)</f>
        <v>4955</v>
      </c>
      <c r="L33" s="45"/>
    </row>
    <row r="34" spans="2:12" ht="15">
      <c r="B34" s="3" t="s">
        <v>175</v>
      </c>
      <c r="D34" s="27">
        <f>Details!E475</f>
        <v>9.8</v>
      </c>
      <c r="E34" s="5"/>
      <c r="F34" s="4">
        <f>ROUND((Input!$H$10/Input!$H$17)*D34,2)</f>
        <v>5.26</v>
      </c>
      <c r="H34" s="13">
        <f>ROUND(F34/(Input!$H$21),2)</f>
        <v>0.05</v>
      </c>
      <c r="J34" s="30">
        <f>ROUND(D34*Input!H$10,0)</f>
        <v>4900</v>
      </c>
      <c r="L34" s="45"/>
    </row>
    <row r="35" spans="2:10" ht="15.75">
      <c r="B35" s="1" t="s">
        <v>13</v>
      </c>
      <c r="D35" s="13"/>
      <c r="F35" s="4"/>
      <c r="H35" s="13"/>
      <c r="J35" s="13"/>
    </row>
    <row r="36" spans="2:12" ht="15">
      <c r="B36" s="3" t="s">
        <v>78</v>
      </c>
      <c r="D36" s="27">
        <f>Details!E486</f>
        <v>4.91</v>
      </c>
      <c r="E36" s="5"/>
      <c r="F36" s="4">
        <f>ROUND((Input!$H$10/Input!$H$17)*D36,2)</f>
        <v>2.64</v>
      </c>
      <c r="H36" s="13">
        <f>ROUND(F36/(Input!$H$21),2)</f>
        <v>0.02</v>
      </c>
      <c r="J36" s="30">
        <f>ROUND(D36*Input!H$10,0)</f>
        <v>2455</v>
      </c>
      <c r="L36" s="45"/>
    </row>
    <row r="37" spans="2:12" ht="15">
      <c r="B37" s="3" t="s">
        <v>203</v>
      </c>
      <c r="D37" s="27">
        <f>Details!E494</f>
        <v>1.9</v>
      </c>
      <c r="E37" s="5"/>
      <c r="F37" s="4">
        <f>ROUND((Input!$H$10/Input!$H$17)*D37,2)</f>
        <v>1.02</v>
      </c>
      <c r="H37" s="13">
        <f>ROUND(F37/(Input!$H$21),2)</f>
        <v>0.01</v>
      </c>
      <c r="J37" s="30">
        <f>ROUND(D37*Input!H$10,0)</f>
        <v>950</v>
      </c>
      <c r="L37" s="45"/>
    </row>
    <row r="38" spans="2:12" ht="15">
      <c r="B38" s="3" t="s">
        <v>194</v>
      </c>
      <c r="D38" s="27">
        <f>Details!E500</f>
        <v>6.545</v>
      </c>
      <c r="E38" s="5"/>
      <c r="F38" s="4">
        <f>ROUND((Input!$H$10/Input!$H$17)*D38,2)</f>
        <v>3.52</v>
      </c>
      <c r="H38" s="13">
        <f>ROUND(F38/(Input!$H$21),2)</f>
        <v>0.03</v>
      </c>
      <c r="J38" s="30">
        <f>ROUND(D38*Input!H$10,0)</f>
        <v>3273</v>
      </c>
      <c r="L38" s="45"/>
    </row>
    <row r="39" spans="2:12" ht="15.75">
      <c r="B39" s="1" t="s">
        <v>195</v>
      </c>
      <c r="D39" s="47">
        <f>Details!E525</f>
        <v>5.2864</v>
      </c>
      <c r="E39" s="47"/>
      <c r="F39" s="29">
        <f>ROUND((Input!$H$10/Input!$H$17)*D39,2)</f>
        <v>2.84</v>
      </c>
      <c r="H39" s="26">
        <f>ROUND(F39/(Input!$H$21),2)</f>
        <v>0.03</v>
      </c>
      <c r="J39" s="31">
        <f>ROUND(D39*Input!H$10,0)</f>
        <v>2643</v>
      </c>
      <c r="L39" s="45"/>
    </row>
    <row r="40" spans="2:12" ht="15.75">
      <c r="B40" s="1" t="s">
        <v>14</v>
      </c>
      <c r="D40" s="6">
        <f>SUM(D33:D39)</f>
        <v>38.3514</v>
      </c>
      <c r="E40" s="6"/>
      <c r="F40" s="6">
        <f>SUM(F33:F39)</f>
        <v>20.6</v>
      </c>
      <c r="H40" s="33">
        <f>SUM(H33:H39)</f>
        <v>0.19</v>
      </c>
      <c r="J40" s="43">
        <f>SUM(J33:J39)</f>
        <v>19176</v>
      </c>
      <c r="L40" s="45"/>
    </row>
    <row r="41" spans="2:12" ht="7.5" customHeight="1">
      <c r="B41" s="1"/>
      <c r="D41" s="6"/>
      <c r="E41" s="6"/>
      <c r="F41" s="6"/>
      <c r="H41" s="33"/>
      <c r="J41" s="43"/>
      <c r="L41" s="45"/>
    </row>
    <row r="42" spans="1:12" ht="15.75">
      <c r="A42" s="1" t="s">
        <v>15</v>
      </c>
      <c r="D42" s="6">
        <f>D29+D40</f>
        <v>308.0166532297452</v>
      </c>
      <c r="E42" s="6"/>
      <c r="F42" s="6">
        <f>F29+F40</f>
        <v>165.44</v>
      </c>
      <c r="H42" s="6">
        <f>H29+H40</f>
        <v>1.56</v>
      </c>
      <c r="J42" s="126">
        <f>J29+J40</f>
        <v>154009</v>
      </c>
      <c r="L42" s="45"/>
    </row>
    <row r="43" spans="2:12" ht="7.5" customHeight="1">
      <c r="B43" s="1"/>
      <c r="D43" s="6"/>
      <c r="E43" s="6"/>
      <c r="F43" s="6"/>
      <c r="H43" s="33"/>
      <c r="J43" s="43"/>
      <c r="L43" s="45"/>
    </row>
    <row r="44" spans="1:12" ht="15.75">
      <c r="A44" s="1" t="s">
        <v>79</v>
      </c>
      <c r="D44" s="68">
        <f>Details!E530</f>
        <v>49.5</v>
      </c>
      <c r="E44" s="68"/>
      <c r="F44" s="6">
        <f>ROUND((Input!$H$10/Input!$H$17)*D44,2)</f>
        <v>26.58</v>
      </c>
      <c r="G44" s="20"/>
      <c r="H44" s="33">
        <f>ROUND(F44/(Input!$H$21),2)</f>
        <v>0.25</v>
      </c>
      <c r="J44" s="43">
        <f>ROUND(D44*Input!H$10,0)</f>
        <v>24750</v>
      </c>
      <c r="L44" s="45"/>
    </row>
    <row r="45" spans="2:12" ht="7.5" customHeight="1">
      <c r="B45" s="1"/>
      <c r="D45" s="6"/>
      <c r="E45" s="6"/>
      <c r="F45" s="6"/>
      <c r="H45" s="33"/>
      <c r="J45" s="33"/>
      <c r="L45" s="45"/>
    </row>
    <row r="46" spans="1:12" ht="15.75">
      <c r="A46" s="1" t="s">
        <v>16</v>
      </c>
      <c r="D46" s="7">
        <f>D42+D44</f>
        <v>357.5166532297452</v>
      </c>
      <c r="E46" s="7"/>
      <c r="F46" s="7">
        <f>F42+F44</f>
        <v>192.01999999999998</v>
      </c>
      <c r="H46" s="7">
        <f>H42+H44</f>
        <v>1.81</v>
      </c>
      <c r="J46" s="127">
        <f>J42+J44</f>
        <v>178759</v>
      </c>
      <c r="L46" s="51"/>
    </row>
    <row r="47" spans="1:12" s="77" customFormat="1" ht="7.5" customHeight="1" thickBot="1">
      <c r="A47" s="85"/>
      <c r="B47" s="85"/>
      <c r="C47" s="85"/>
      <c r="D47" s="85"/>
      <c r="E47" s="85"/>
      <c r="F47" s="85"/>
      <c r="G47" s="85"/>
      <c r="H47" s="86"/>
      <c r="I47" s="85"/>
      <c r="J47" s="86"/>
      <c r="K47" s="85"/>
      <c r="L47" s="85"/>
    </row>
    <row r="48" spans="1:12" s="77" customFormat="1" ht="15" customHeight="1" thickTop="1">
      <c r="A48" s="373" t="s">
        <v>348</v>
      </c>
      <c r="B48" s="373"/>
      <c r="C48" s="373"/>
      <c r="D48" s="373"/>
      <c r="E48" s="373"/>
      <c r="F48" s="373"/>
      <c r="G48" s="373"/>
      <c r="H48" s="373"/>
      <c r="I48" s="373"/>
      <c r="J48" s="373"/>
      <c r="K48" s="373"/>
      <c r="L48" s="373"/>
    </row>
    <row r="49" ht="7.5" customHeight="1"/>
    <row r="50" spans="1:12" s="77" customFormat="1" ht="15" customHeight="1">
      <c r="A50" s="88" t="s">
        <v>349</v>
      </c>
      <c r="C50" s="87"/>
      <c r="D50" s="14" t="s">
        <v>72</v>
      </c>
      <c r="E50" s="87"/>
      <c r="F50" s="19" t="s">
        <v>347</v>
      </c>
      <c r="G50" s="89" t="s">
        <v>350</v>
      </c>
      <c r="H50" s="90"/>
      <c r="I50" s="87"/>
      <c r="J50" s="90" t="s">
        <v>19</v>
      </c>
      <c r="K50" s="87"/>
      <c r="L50" s="87"/>
    </row>
    <row r="51" spans="2:12" s="77" customFormat="1" ht="15" customHeight="1">
      <c r="B51" s="87" t="s">
        <v>351</v>
      </c>
      <c r="C51" s="87"/>
      <c r="D51" s="87"/>
      <c r="E51" s="87"/>
      <c r="F51" s="128">
        <f>Input!H22</f>
        <v>220</v>
      </c>
      <c r="G51" s="89"/>
      <c r="H51" s="90"/>
      <c r="I51" s="87"/>
      <c r="J51" s="90"/>
      <c r="K51" s="87"/>
      <c r="L51" s="79"/>
    </row>
    <row r="52" spans="2:12" s="77" customFormat="1" ht="15" customHeight="1">
      <c r="B52" s="87" t="s">
        <v>391</v>
      </c>
      <c r="C52" s="87"/>
      <c r="D52" s="87"/>
      <c r="E52" s="87"/>
      <c r="F52" s="91">
        <f>Input!H21</f>
        <v>106.7</v>
      </c>
      <c r="G52" s="89"/>
      <c r="H52" s="90"/>
      <c r="I52" s="87"/>
      <c r="J52" s="128">
        <f>SUM((F51/100)*F52)*Input!H17</f>
        <v>218542.94000000003</v>
      </c>
      <c r="K52" s="87"/>
      <c r="L52" s="79"/>
    </row>
    <row r="53" spans="2:12" s="77" customFormat="1" ht="15" customHeight="1">
      <c r="B53" s="87" t="s">
        <v>374</v>
      </c>
      <c r="C53" s="87"/>
      <c r="D53" s="129">
        <f>Details!E537</f>
        <v>3.8475</v>
      </c>
      <c r="E53" s="87"/>
      <c r="F53" s="130">
        <f>SUM(J53/Input!H17)</f>
        <v>2.066595059076262</v>
      </c>
      <c r="G53" s="89"/>
      <c r="H53" s="90"/>
      <c r="I53" s="87"/>
      <c r="J53" s="70">
        <f>ROUND(D53*Input!H$10,0)</f>
        <v>1924</v>
      </c>
      <c r="K53" s="87"/>
      <c r="L53" s="79"/>
    </row>
    <row r="54" spans="2:12" s="77" customFormat="1" ht="15" customHeight="1">
      <c r="B54" s="76" t="s">
        <v>373</v>
      </c>
      <c r="C54" s="87"/>
      <c r="D54" s="92">
        <f>SUM(J54/Input!H10)</f>
        <v>440.93388000000004</v>
      </c>
      <c r="E54" s="87"/>
      <c r="F54" s="92">
        <f>SUM(J54/Input!H17)</f>
        <v>236.8065950590763</v>
      </c>
      <c r="G54" s="113"/>
      <c r="H54" s="93"/>
      <c r="I54" s="87"/>
      <c r="J54" s="93">
        <f>SUM(J52:J53)</f>
        <v>220466.94000000003</v>
      </c>
      <c r="K54" s="87"/>
      <c r="L54" s="79"/>
    </row>
    <row r="55" spans="2:12" s="77" customFormat="1" ht="7.5" customHeight="1">
      <c r="B55" s="76"/>
      <c r="C55" s="87"/>
      <c r="D55" s="87"/>
      <c r="E55" s="87"/>
      <c r="F55" s="92"/>
      <c r="G55" s="113"/>
      <c r="H55" s="93"/>
      <c r="I55" s="87"/>
      <c r="J55" s="93"/>
      <c r="K55" s="87"/>
      <c r="L55" s="87"/>
    </row>
    <row r="56" spans="1:12" s="77" customFormat="1" ht="15" customHeight="1">
      <c r="A56" s="94" t="s">
        <v>352</v>
      </c>
      <c r="B56" s="75"/>
      <c r="C56" s="87"/>
      <c r="D56" s="87"/>
      <c r="E56" s="87"/>
      <c r="F56" s="92"/>
      <c r="G56" s="113"/>
      <c r="H56" s="93"/>
      <c r="I56" s="87"/>
      <c r="J56" s="93"/>
      <c r="K56" s="87"/>
      <c r="L56" s="87"/>
    </row>
    <row r="57" spans="2:12" s="77" customFormat="1" ht="15" customHeight="1">
      <c r="B57" s="76" t="s">
        <v>353</v>
      </c>
      <c r="C57" s="87"/>
      <c r="D57" s="95">
        <f>SUM(D54-D29)</f>
        <v>171.26862677025485</v>
      </c>
      <c r="E57" s="87"/>
      <c r="F57" s="95">
        <f>SUM(F54-F29)</f>
        <v>91.9665950590763</v>
      </c>
      <c r="G57" s="113"/>
      <c r="H57" s="93"/>
      <c r="I57" s="87"/>
      <c r="J57" s="140">
        <f>SUM(J54-J29)</f>
        <v>85633.94000000003</v>
      </c>
      <c r="K57" s="87"/>
      <c r="L57" s="79"/>
    </row>
    <row r="58" spans="2:12" s="77" customFormat="1" ht="15" customHeight="1">
      <c r="B58" s="76" t="s">
        <v>354</v>
      </c>
      <c r="C58" s="87"/>
      <c r="D58" s="95">
        <f>SUM(D54-D29-D44)</f>
        <v>121.76862677025485</v>
      </c>
      <c r="E58" s="87"/>
      <c r="F58" s="95">
        <f>SUM(F54-F29-F44)</f>
        <v>65.3865950590763</v>
      </c>
      <c r="G58" s="113"/>
      <c r="H58" s="93"/>
      <c r="I58" s="87"/>
      <c r="J58" s="140">
        <f>SUM(J54-J29-J44)</f>
        <v>60883.94000000003</v>
      </c>
      <c r="K58" s="87"/>
      <c r="L58" s="79"/>
    </row>
    <row r="59" spans="2:12" s="77" customFormat="1" ht="15" customHeight="1">
      <c r="B59" s="76" t="s">
        <v>355</v>
      </c>
      <c r="C59" s="87"/>
      <c r="D59" s="95">
        <f>SUM(D54-D29-D40)</f>
        <v>132.91722677025484</v>
      </c>
      <c r="E59" s="87"/>
      <c r="F59" s="95">
        <f>SUM(F54-F29-F40)</f>
        <v>71.3665950590763</v>
      </c>
      <c r="G59" s="113"/>
      <c r="H59" s="93"/>
      <c r="I59" s="87"/>
      <c r="J59" s="140">
        <f>SUM(J54-J29-J40)</f>
        <v>66457.94000000003</v>
      </c>
      <c r="K59" s="87"/>
      <c r="L59" s="79"/>
    </row>
    <row r="60" spans="2:12" s="77" customFormat="1" ht="15" customHeight="1">
      <c r="B60" s="76" t="s">
        <v>356</v>
      </c>
      <c r="C60" s="87"/>
      <c r="D60" s="95">
        <f>SUM(D54-D46)</f>
        <v>83.41722677025484</v>
      </c>
      <c r="E60" s="87"/>
      <c r="F60" s="95">
        <f>SUM(F54-F46)</f>
        <v>44.78659505907632</v>
      </c>
      <c r="G60" s="113"/>
      <c r="H60" s="96"/>
      <c r="I60" s="87"/>
      <c r="J60" s="140">
        <f>SUM(J54-J46)</f>
        <v>41707.94000000003</v>
      </c>
      <c r="K60" s="87"/>
      <c r="L60" s="79"/>
    </row>
    <row r="61" spans="2:12" s="77" customFormat="1" ht="15" customHeight="1">
      <c r="B61" s="75" t="s">
        <v>357</v>
      </c>
      <c r="C61" s="87"/>
      <c r="D61" s="97">
        <f>SUM(D29/D54)</f>
        <v>0.6115775300136728</v>
      </c>
      <c r="E61" s="87"/>
      <c r="F61" s="97">
        <f>SUM(F29/F54)</f>
        <v>0.6116383708142363</v>
      </c>
      <c r="G61" s="87"/>
      <c r="I61" s="87"/>
      <c r="J61" s="97"/>
      <c r="K61" s="87"/>
      <c r="L61" s="87"/>
    </row>
    <row r="62" spans="2:12" s="77" customFormat="1" ht="7.5" customHeight="1">
      <c r="B62" s="87"/>
      <c r="C62" s="87"/>
      <c r="D62" s="87"/>
      <c r="E62" s="87"/>
      <c r="G62" s="87"/>
      <c r="I62" s="87"/>
      <c r="K62" s="87"/>
      <c r="L62" s="87"/>
    </row>
    <row r="63" spans="1:12" s="77" customFormat="1" ht="15" customHeight="1">
      <c r="A63" s="359" t="s">
        <v>487</v>
      </c>
      <c r="B63" s="360"/>
      <c r="D63" s="87"/>
      <c r="E63" s="87"/>
      <c r="F63" s="364">
        <f>SUM((J54-J46)/J46)</f>
        <v>0.2333193853176625</v>
      </c>
      <c r="G63" s="87"/>
      <c r="I63" s="87"/>
      <c r="K63" s="87"/>
      <c r="L63" s="87"/>
    </row>
    <row r="64" spans="1:12" s="77" customFormat="1" ht="15" customHeight="1">
      <c r="A64" s="359" t="s">
        <v>488</v>
      </c>
      <c r="B64" s="360"/>
      <c r="D64" s="87"/>
      <c r="E64" s="87"/>
      <c r="F64" s="364">
        <f>SUM((J57-J44-J33-J34)/((Input!H190)))</f>
        <v>0.12377853781594148</v>
      </c>
      <c r="G64" s="87"/>
      <c r="I64" s="87"/>
      <c r="K64" s="87"/>
      <c r="L64" s="87"/>
    </row>
    <row r="65" spans="1:12" s="77" customFormat="1" ht="7.5" customHeight="1">
      <c r="A65" s="359"/>
      <c r="B65" s="360"/>
      <c r="D65" s="87"/>
      <c r="E65" s="87"/>
      <c r="F65" s="361"/>
      <c r="G65" s="87"/>
      <c r="I65" s="87"/>
      <c r="K65" s="87"/>
      <c r="L65" s="87"/>
    </row>
    <row r="66" spans="1:12" s="77" customFormat="1" ht="15" customHeight="1">
      <c r="A66" s="94" t="s">
        <v>324</v>
      </c>
      <c r="B66" s="87"/>
      <c r="C66" s="87"/>
      <c r="D66" s="87"/>
      <c r="E66" s="87"/>
      <c r="F66" s="139" t="s">
        <v>376</v>
      </c>
      <c r="G66" s="87"/>
      <c r="H66" s="78"/>
      <c r="I66" s="87"/>
      <c r="J66" s="78"/>
      <c r="K66" s="87"/>
      <c r="L66" s="87"/>
    </row>
    <row r="67" spans="2:12" s="77" customFormat="1" ht="15" customHeight="1">
      <c r="B67" s="76" t="s">
        <v>358</v>
      </c>
      <c r="C67" s="76"/>
      <c r="D67" s="76"/>
      <c r="E67" s="76"/>
      <c r="F67" s="137">
        <f>($F$29-$F$53)/(Input!$H$21/100)</f>
        <v>133.80825205334935</v>
      </c>
      <c r="G67" s="76"/>
      <c r="H67" s="98"/>
      <c r="I67" s="80"/>
      <c r="J67" s="98"/>
      <c r="K67" s="80"/>
      <c r="L67" s="79"/>
    </row>
    <row r="68" spans="2:12" s="77" customFormat="1" ht="15" customHeight="1">
      <c r="B68" s="76" t="s">
        <v>359</v>
      </c>
      <c r="C68" s="76"/>
      <c r="D68" s="76"/>
      <c r="E68" s="76"/>
      <c r="F68" s="137">
        <f>($F$29+$F$44-$F$53)/(Input!$H$21/100)</f>
        <v>158.7192173766858</v>
      </c>
      <c r="G68" s="76"/>
      <c r="H68" s="98"/>
      <c r="I68" s="80"/>
      <c r="J68" s="98"/>
      <c r="K68" s="80"/>
      <c r="L68" s="79"/>
    </row>
    <row r="69" spans="2:14" s="77" customFormat="1" ht="15" customHeight="1">
      <c r="B69" s="76" t="s">
        <v>360</v>
      </c>
      <c r="C69" s="76"/>
      <c r="D69" s="76"/>
      <c r="E69" s="76"/>
      <c r="F69" s="137">
        <f>($F$42-$F$53)/(Input!$H$21/100)</f>
        <v>153.11471878249648</v>
      </c>
      <c r="G69" s="76"/>
      <c r="H69" s="98"/>
      <c r="I69" s="80"/>
      <c r="J69" s="98"/>
      <c r="K69" s="80"/>
      <c r="L69" s="79"/>
      <c r="N69" s="317"/>
    </row>
    <row r="70" spans="2:12" s="77" customFormat="1" ht="15" customHeight="1">
      <c r="B70" s="76" t="s">
        <v>361</v>
      </c>
      <c r="C70" s="76"/>
      <c r="D70" s="76"/>
      <c r="E70" s="76"/>
      <c r="F70" s="137">
        <f>($F$46-$F$53)/(Input!$H$21/100)</f>
        <v>178.0256841058329</v>
      </c>
      <c r="G70" s="76"/>
      <c r="H70" s="98"/>
      <c r="I70" s="80"/>
      <c r="J70" s="98"/>
      <c r="K70" s="80"/>
      <c r="L70" s="81"/>
    </row>
    <row r="71" spans="1:12" s="77" customFormat="1" ht="7.5" customHeight="1" thickBot="1">
      <c r="A71" s="99"/>
      <c r="B71" s="85"/>
      <c r="C71" s="85"/>
      <c r="D71" s="85"/>
      <c r="E71" s="85"/>
      <c r="F71" s="114"/>
      <c r="G71" s="85"/>
      <c r="H71" s="100"/>
      <c r="I71" s="101"/>
      <c r="J71" s="100"/>
      <c r="K71" s="101"/>
      <c r="L71" s="85"/>
    </row>
    <row r="72" ht="7.5" customHeight="1" thickTop="1"/>
    <row r="73" spans="1:12" s="77" customFormat="1" ht="13.5" customHeight="1">
      <c r="A73" s="371" t="s">
        <v>399</v>
      </c>
      <c r="B73" s="371"/>
      <c r="C73" s="371"/>
      <c r="D73" s="371"/>
      <c r="E73" s="371"/>
      <c r="F73" s="371"/>
      <c r="G73" s="371"/>
      <c r="H73" s="371"/>
      <c r="I73" s="371"/>
      <c r="J73" s="371"/>
      <c r="K73" s="371"/>
      <c r="L73" s="371"/>
    </row>
    <row r="74" spans="1:12" s="77" customFormat="1" ht="13.5" customHeight="1">
      <c r="A74" s="371"/>
      <c r="B74" s="371"/>
      <c r="C74" s="371"/>
      <c r="D74" s="371"/>
      <c r="E74" s="371"/>
      <c r="F74" s="371"/>
      <c r="G74" s="371"/>
      <c r="H74" s="371"/>
      <c r="I74" s="371"/>
      <c r="J74" s="371"/>
      <c r="K74" s="371"/>
      <c r="L74" s="371"/>
    </row>
    <row r="75" spans="1:12" s="77" customFormat="1" ht="13.5" customHeight="1">
      <c r="A75" s="371"/>
      <c r="B75" s="371"/>
      <c r="C75" s="371"/>
      <c r="D75" s="371"/>
      <c r="E75" s="371"/>
      <c r="F75" s="371"/>
      <c r="G75" s="371"/>
      <c r="H75" s="371"/>
      <c r="I75" s="371"/>
      <c r="J75" s="371"/>
      <c r="K75" s="371"/>
      <c r="L75" s="371"/>
    </row>
  </sheetData>
  <sheetProtection password="C6A6" sheet="1"/>
  <mergeCells count="4">
    <mergeCell ref="A73:L75"/>
    <mergeCell ref="A3:L3"/>
    <mergeCell ref="A2:L2"/>
    <mergeCell ref="A48:L48"/>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portrait" scale="64" r:id="rId1"/>
  <headerFooter alignWithMargins="0">
    <oddHeader>&amp;L&amp;"Arial,Regular"Guidlelines: Lamb Production Costs&amp;R&amp;P</oddHeader>
    <oddFooter>&amp;R&amp;"Arial,Regular"Manitoba Agriculture, Farm Management</oddFooter>
  </headerFooter>
  <rowBreaks count="1" manualBreakCount="1">
    <brk id="75" max="255" man="1"/>
  </rowBreaks>
  <ignoredErrors>
    <ignoredError sqref="F27 H27 J27" formula="1"/>
  </ignoredErrors>
</worksheet>
</file>

<file path=xl/worksheets/sheet3.xml><?xml version="1.0" encoding="utf-8"?>
<worksheet xmlns="http://schemas.openxmlformats.org/spreadsheetml/2006/main" xmlns:r="http://schemas.openxmlformats.org/officeDocument/2006/relationships">
  <sheetPr codeName="Sheet10">
    <pageSetUpPr fitToPage="1"/>
  </sheetPr>
  <dimension ref="A1:AJ67"/>
  <sheetViews>
    <sheetView showGridLines="0" zoomScalePageLayoutView="0" workbookViewId="0" topLeftCell="A1">
      <selection activeCell="B1" sqref="B1:K1"/>
    </sheetView>
  </sheetViews>
  <sheetFormatPr defaultColWidth="10.28125" defaultRowHeight="12.75"/>
  <cols>
    <col min="1" max="1" width="2.140625" style="157" customWidth="1"/>
    <col min="2" max="2" width="38.140625" style="157" customWidth="1"/>
    <col min="3" max="3" width="15.7109375" style="157" customWidth="1"/>
    <col min="4" max="5" width="12.00390625" style="157" customWidth="1"/>
    <col min="6" max="10" width="10.28125" style="157" customWidth="1"/>
    <col min="11" max="11" width="10.7109375" style="157" customWidth="1"/>
    <col min="12" max="22" width="10.28125" style="157" customWidth="1"/>
    <col min="23" max="16384" width="10.28125" style="143" customWidth="1"/>
  </cols>
  <sheetData>
    <row r="1" spans="1:27" ht="18">
      <c r="A1" s="141"/>
      <c r="B1" s="374" t="s">
        <v>377</v>
      </c>
      <c r="C1" s="374"/>
      <c r="D1" s="374"/>
      <c r="E1" s="374"/>
      <c r="F1" s="374"/>
      <c r="G1" s="374"/>
      <c r="H1" s="374"/>
      <c r="I1" s="374"/>
      <c r="J1" s="374"/>
      <c r="K1" s="374"/>
      <c r="L1" s="142"/>
      <c r="M1" s="142"/>
      <c r="N1" s="142"/>
      <c r="O1" s="142"/>
      <c r="P1" s="142"/>
      <c r="Q1" s="142"/>
      <c r="R1" s="142"/>
      <c r="S1" s="142"/>
      <c r="T1" s="142"/>
      <c r="U1" s="142"/>
      <c r="V1" s="142"/>
      <c r="W1" s="141"/>
      <c r="X1" s="141"/>
      <c r="Y1" s="141"/>
      <c r="Z1" s="141"/>
      <c r="AA1" s="141"/>
    </row>
    <row r="2" spans="1:21" s="151" customFormat="1" ht="15">
      <c r="A2" s="144"/>
      <c r="B2" s="144"/>
      <c r="C2" s="145"/>
      <c r="D2" s="145"/>
      <c r="E2" s="146"/>
      <c r="F2" s="145"/>
      <c r="G2" s="147"/>
      <c r="H2" s="145"/>
      <c r="I2" s="145"/>
      <c r="J2" s="146"/>
      <c r="K2" s="144"/>
      <c r="L2" s="147"/>
      <c r="M2" s="148"/>
      <c r="N2" s="375"/>
      <c r="O2" s="375"/>
      <c r="P2" s="149"/>
      <c r="Q2" s="144"/>
      <c r="R2" s="145"/>
      <c r="S2" s="147"/>
      <c r="T2" s="150"/>
      <c r="U2" s="147"/>
    </row>
    <row r="3" spans="1:21" s="155" customFormat="1" ht="15">
      <c r="A3" s="152"/>
      <c r="B3" s="152"/>
      <c r="C3" s="153" t="s">
        <v>387</v>
      </c>
      <c r="D3" s="147"/>
      <c r="E3" s="153" t="s">
        <v>388</v>
      </c>
      <c r="F3" s="147"/>
      <c r="G3" s="150"/>
      <c r="H3" s="147"/>
      <c r="I3" s="147"/>
      <c r="J3" s="147"/>
      <c r="K3" s="147"/>
      <c r="L3" s="147"/>
      <c r="M3" s="147"/>
      <c r="N3" s="147"/>
      <c r="O3" s="147"/>
      <c r="P3" s="147"/>
      <c r="Q3" s="146"/>
      <c r="R3" s="147"/>
      <c r="S3" s="147"/>
      <c r="T3" s="154"/>
      <c r="U3" s="154"/>
    </row>
    <row r="4" spans="1:21" ht="18">
      <c r="A4" s="156" t="s">
        <v>0</v>
      </c>
      <c r="C4" s="158">
        <f>Summary!D29</f>
        <v>269.6652532297452</v>
      </c>
      <c r="D4" s="158"/>
      <c r="E4" s="158">
        <f>Summary!F29</f>
        <v>144.84</v>
      </c>
      <c r="F4" s="158"/>
      <c r="G4" s="158"/>
      <c r="H4" s="158"/>
      <c r="I4" s="158"/>
      <c r="J4" s="158"/>
      <c r="K4" s="158"/>
      <c r="L4" s="158"/>
      <c r="M4" s="158"/>
      <c r="N4" s="158"/>
      <c r="O4" s="158"/>
      <c r="P4" s="158"/>
      <c r="Q4" s="158"/>
      <c r="R4" s="158"/>
      <c r="S4" s="158"/>
      <c r="T4" s="158"/>
      <c r="U4" s="158"/>
    </row>
    <row r="5" spans="1:21" ht="18">
      <c r="A5" s="159" t="s">
        <v>11</v>
      </c>
      <c r="C5" s="158">
        <f>Summary!D40</f>
        <v>38.3514</v>
      </c>
      <c r="D5" s="158"/>
      <c r="E5" s="158">
        <f>Summary!F40</f>
        <v>20.6</v>
      </c>
      <c r="F5" s="158"/>
      <c r="G5" s="158"/>
      <c r="H5" s="158"/>
      <c r="I5" s="158"/>
      <c r="J5" s="158"/>
      <c r="K5" s="158"/>
      <c r="L5" s="158"/>
      <c r="M5" s="158"/>
      <c r="N5" s="158"/>
      <c r="O5" s="158"/>
      <c r="P5" s="158"/>
      <c r="Q5" s="158"/>
      <c r="R5" s="158"/>
      <c r="S5" s="158"/>
      <c r="T5" s="158"/>
      <c r="U5" s="158"/>
    </row>
    <row r="6" spans="1:21" ht="18">
      <c r="A6" s="159" t="s">
        <v>79</v>
      </c>
      <c r="C6" s="158">
        <f>Summary!D44</f>
        <v>49.5</v>
      </c>
      <c r="D6" s="158"/>
      <c r="E6" s="158">
        <f>Summary!F44</f>
        <v>26.58</v>
      </c>
      <c r="F6" s="158"/>
      <c r="G6" s="158"/>
      <c r="H6" s="158"/>
      <c r="I6" s="158"/>
      <c r="J6" s="158"/>
      <c r="K6" s="158"/>
      <c r="L6" s="158"/>
      <c r="M6" s="158"/>
      <c r="N6" s="158"/>
      <c r="O6" s="158"/>
      <c r="P6" s="158"/>
      <c r="Q6" s="158"/>
      <c r="R6" s="158"/>
      <c r="S6" s="158"/>
      <c r="T6" s="158"/>
      <c r="U6" s="158"/>
    </row>
    <row r="7" spans="1:21" ht="18">
      <c r="A7" s="159" t="s">
        <v>378</v>
      </c>
      <c r="C7" s="158">
        <f>Summary!D46</f>
        <v>357.5166532297452</v>
      </c>
      <c r="D7" s="158"/>
      <c r="E7" s="158">
        <f>Summary!F46</f>
        <v>192.01999999999998</v>
      </c>
      <c r="F7" s="158"/>
      <c r="G7" s="158"/>
      <c r="H7" s="158"/>
      <c r="I7" s="158"/>
      <c r="J7" s="158"/>
      <c r="K7" s="158"/>
      <c r="L7" s="158"/>
      <c r="M7" s="158"/>
      <c r="N7" s="158"/>
      <c r="O7" s="158"/>
      <c r="P7" s="158"/>
      <c r="Q7" s="158"/>
      <c r="R7" s="158"/>
      <c r="S7" s="158"/>
      <c r="T7" s="158"/>
      <c r="U7" s="158"/>
    </row>
    <row r="8" spans="1:21" ht="18">
      <c r="A8" s="159"/>
      <c r="C8" s="158"/>
      <c r="D8" s="158"/>
      <c r="E8" s="158"/>
      <c r="F8" s="158"/>
      <c r="G8" s="158"/>
      <c r="H8" s="158"/>
      <c r="I8" s="158"/>
      <c r="J8" s="158"/>
      <c r="K8" s="158"/>
      <c r="L8" s="158"/>
      <c r="M8" s="158"/>
      <c r="N8" s="158"/>
      <c r="O8" s="158"/>
      <c r="P8" s="158"/>
      <c r="Q8" s="158"/>
      <c r="R8" s="158"/>
      <c r="S8" s="158"/>
      <c r="T8" s="158"/>
      <c r="U8" s="158"/>
    </row>
    <row r="9" spans="1:27" ht="18">
      <c r="A9" s="160" t="s">
        <v>349</v>
      </c>
      <c r="B9" s="161"/>
      <c r="C9" s="143"/>
      <c r="D9" s="141"/>
      <c r="E9" s="141"/>
      <c r="F9" s="141"/>
      <c r="G9" s="141"/>
      <c r="H9" s="141"/>
      <c r="I9" s="143"/>
      <c r="J9" s="141"/>
      <c r="K9" s="141"/>
      <c r="L9" s="141"/>
      <c r="M9" s="141"/>
      <c r="N9" s="141"/>
      <c r="O9" s="141"/>
      <c r="P9" s="141"/>
      <c r="Q9" s="141"/>
      <c r="R9" s="141"/>
      <c r="S9" s="141"/>
      <c r="T9" s="141"/>
      <c r="U9" s="141"/>
      <c r="V9" s="141"/>
      <c r="W9" s="141"/>
      <c r="X9" s="141"/>
      <c r="Y9" s="141"/>
      <c r="Z9" s="141"/>
      <c r="AA9" s="141"/>
    </row>
    <row r="10" spans="1:21" ht="18">
      <c r="A10" s="161"/>
      <c r="B10" s="162" t="s">
        <v>390</v>
      </c>
      <c r="C10" s="190">
        <f>Input!H22</f>
        <v>220</v>
      </c>
      <c r="D10" s="164"/>
      <c r="E10" s="164"/>
      <c r="F10" s="164"/>
      <c r="G10" s="164"/>
      <c r="H10" s="164"/>
      <c r="I10" s="164"/>
      <c r="J10" s="164"/>
      <c r="K10" s="164"/>
      <c r="L10" s="164"/>
      <c r="M10" s="164"/>
      <c r="N10" s="164"/>
      <c r="O10" s="164"/>
      <c r="P10" s="164"/>
      <c r="Q10" s="164"/>
      <c r="R10" s="164"/>
      <c r="S10" s="164"/>
      <c r="T10" s="164"/>
      <c r="U10" s="164"/>
    </row>
    <row r="11" spans="1:21" ht="18">
      <c r="A11" s="161"/>
      <c r="B11" s="162" t="s">
        <v>389</v>
      </c>
      <c r="C11" s="166">
        <f>Input!H12</f>
        <v>200</v>
      </c>
      <c r="D11" s="164"/>
      <c r="E11" s="164"/>
      <c r="F11" s="164"/>
      <c r="G11" s="164"/>
      <c r="H11" s="164"/>
      <c r="I11" s="164"/>
      <c r="J11" s="164"/>
      <c r="K11" s="164"/>
      <c r="L11" s="164"/>
      <c r="M11" s="164"/>
      <c r="N11" s="164"/>
      <c r="O11" s="164"/>
      <c r="P11" s="164"/>
      <c r="Q11" s="164"/>
      <c r="R11" s="164"/>
      <c r="S11" s="164"/>
      <c r="T11" s="164"/>
      <c r="U11" s="164"/>
    </row>
    <row r="12" spans="1:22" s="169" customFormat="1" ht="18">
      <c r="A12" s="161"/>
      <c r="B12" s="162" t="s">
        <v>392</v>
      </c>
      <c r="C12" s="166">
        <f>Input!H21</f>
        <v>106.7</v>
      </c>
      <c r="D12" s="167"/>
      <c r="E12" s="167"/>
      <c r="F12" s="167"/>
      <c r="G12" s="167"/>
      <c r="H12" s="167"/>
      <c r="I12" s="167"/>
      <c r="J12" s="167"/>
      <c r="K12" s="167"/>
      <c r="L12" s="167"/>
      <c r="M12" s="167"/>
      <c r="N12" s="167"/>
      <c r="O12" s="167"/>
      <c r="P12" s="167"/>
      <c r="Q12" s="167"/>
      <c r="R12" s="167"/>
      <c r="S12" s="167"/>
      <c r="T12" s="167"/>
      <c r="U12" s="167"/>
      <c r="V12" s="168"/>
    </row>
    <row r="13" spans="1:22" s="169" customFormat="1" ht="9" customHeight="1">
      <c r="A13" s="161"/>
      <c r="B13" s="162"/>
      <c r="C13" s="166"/>
      <c r="D13" s="167"/>
      <c r="E13" s="167"/>
      <c r="F13" s="167"/>
      <c r="G13" s="167"/>
      <c r="H13" s="167"/>
      <c r="I13" s="167"/>
      <c r="J13" s="167"/>
      <c r="K13" s="167"/>
      <c r="L13" s="167"/>
      <c r="M13" s="167"/>
      <c r="N13" s="167"/>
      <c r="O13" s="167"/>
      <c r="P13" s="167"/>
      <c r="Q13" s="167"/>
      <c r="R13" s="167"/>
      <c r="S13" s="167"/>
      <c r="T13" s="167"/>
      <c r="U13" s="167"/>
      <c r="V13" s="168"/>
    </row>
    <row r="14" spans="1:22" s="169" customFormat="1" ht="9" customHeight="1">
      <c r="A14" s="204"/>
      <c r="B14" s="204"/>
      <c r="C14" s="205"/>
      <c r="D14" s="205"/>
      <c r="E14" s="205"/>
      <c r="F14" s="205"/>
      <c r="G14" s="205"/>
      <c r="H14" s="205"/>
      <c r="I14" s="205"/>
      <c r="J14" s="205"/>
      <c r="K14" s="205"/>
      <c r="L14" s="171"/>
      <c r="M14" s="171"/>
      <c r="N14" s="171"/>
      <c r="O14" s="171"/>
      <c r="P14" s="171"/>
      <c r="Q14" s="171"/>
      <c r="R14" s="171"/>
      <c r="S14" s="171"/>
      <c r="T14" s="171"/>
      <c r="U14" s="171"/>
      <c r="V14" s="168"/>
    </row>
    <row r="15" spans="1:22" ht="18">
      <c r="A15" s="206"/>
      <c r="B15" s="207"/>
      <c r="C15" s="208" t="s">
        <v>379</v>
      </c>
      <c r="D15" s="208" t="s">
        <v>380</v>
      </c>
      <c r="E15" s="207"/>
      <c r="F15" s="207"/>
      <c r="G15" s="206"/>
      <c r="H15" s="207"/>
      <c r="I15" s="209"/>
      <c r="J15" s="209"/>
      <c r="K15" s="207"/>
      <c r="Q15" s="172"/>
      <c r="R15" s="172"/>
      <c r="S15" s="173"/>
      <c r="T15" s="173"/>
      <c r="U15" s="172"/>
      <c r="V15" s="172"/>
    </row>
    <row r="16" spans="1:22" ht="18">
      <c r="A16" s="204"/>
      <c r="B16" s="262" t="s">
        <v>396</v>
      </c>
      <c r="C16" s="248">
        <v>0.05</v>
      </c>
      <c r="D16" s="248">
        <v>0.15</v>
      </c>
      <c r="E16" s="206"/>
      <c r="F16" s="211"/>
      <c r="G16" s="206"/>
      <c r="H16" s="206"/>
      <c r="I16" s="212"/>
      <c r="J16" s="212"/>
      <c r="K16" s="207"/>
      <c r="Q16" s="176"/>
      <c r="R16" s="176"/>
      <c r="S16" s="177"/>
      <c r="T16" s="178"/>
      <c r="U16" s="176"/>
      <c r="V16" s="176"/>
    </row>
    <row r="17" spans="1:22" ht="18">
      <c r="A17" s="204"/>
      <c r="B17" s="262" t="s">
        <v>405</v>
      </c>
      <c r="C17" s="248">
        <v>0.2</v>
      </c>
      <c r="D17" s="248">
        <v>0.2</v>
      </c>
      <c r="E17" s="206"/>
      <c r="F17" s="211"/>
      <c r="G17" s="206"/>
      <c r="H17" s="206"/>
      <c r="I17" s="212"/>
      <c r="J17" s="212"/>
      <c r="K17" s="207"/>
      <c r="Q17" s="176"/>
      <c r="R17" s="176"/>
      <c r="S17" s="177"/>
      <c r="T17" s="178"/>
      <c r="U17" s="176"/>
      <c r="V17" s="176"/>
    </row>
    <row r="18" spans="1:22" ht="18">
      <c r="A18" s="204"/>
      <c r="B18" s="262" t="s">
        <v>397</v>
      </c>
      <c r="C18" s="248">
        <v>0.05</v>
      </c>
      <c r="D18" s="248">
        <v>0</v>
      </c>
      <c r="E18" s="206"/>
      <c r="F18" s="211"/>
      <c r="G18" s="206"/>
      <c r="H18" s="210"/>
      <c r="I18" s="212"/>
      <c r="J18" s="212"/>
      <c r="K18" s="207"/>
      <c r="Q18" s="176"/>
      <c r="R18" s="176"/>
      <c r="S18" s="177"/>
      <c r="T18" s="178"/>
      <c r="U18" s="176"/>
      <c r="V18" s="176"/>
    </row>
    <row r="19" spans="1:22" ht="9" customHeight="1">
      <c r="A19" s="204"/>
      <c r="B19" s="210"/>
      <c r="C19" s="212"/>
      <c r="D19" s="212"/>
      <c r="E19" s="206"/>
      <c r="F19" s="211"/>
      <c r="G19" s="206"/>
      <c r="H19" s="210"/>
      <c r="I19" s="212"/>
      <c r="J19" s="212"/>
      <c r="K19" s="207"/>
      <c r="Q19" s="176"/>
      <c r="R19" s="176"/>
      <c r="S19" s="177"/>
      <c r="T19" s="178"/>
      <c r="U19" s="176"/>
      <c r="V19" s="176"/>
    </row>
    <row r="20" spans="1:22" s="169" customFormat="1" ht="9" customHeight="1">
      <c r="A20" s="170"/>
      <c r="B20" s="170"/>
      <c r="C20" s="171"/>
      <c r="D20" s="171"/>
      <c r="E20" s="171"/>
      <c r="F20" s="171"/>
      <c r="G20" s="171"/>
      <c r="H20" s="171"/>
      <c r="I20" s="171"/>
      <c r="J20" s="171"/>
      <c r="K20" s="171"/>
      <c r="L20" s="171"/>
      <c r="M20" s="171"/>
      <c r="N20" s="171"/>
      <c r="O20" s="171"/>
      <c r="P20" s="171"/>
      <c r="Q20" s="171"/>
      <c r="R20" s="171"/>
      <c r="S20" s="171"/>
      <c r="T20" s="171"/>
      <c r="U20" s="171"/>
      <c r="V20" s="168"/>
    </row>
    <row r="21" spans="1:22" s="180" customFormat="1" ht="18" customHeight="1">
      <c r="A21" s="159"/>
      <c r="B21" s="179" t="s">
        <v>381</v>
      </c>
      <c r="C21" s="163">
        <f>SUM(C10*(1+C16))</f>
        <v>231</v>
      </c>
      <c r="D21" s="163"/>
      <c r="E21" s="163"/>
      <c r="F21" s="163"/>
      <c r="G21" s="163"/>
      <c r="H21" s="163"/>
      <c r="I21" s="163"/>
      <c r="J21" s="163"/>
      <c r="K21" s="163"/>
      <c r="L21" s="163"/>
      <c r="M21" s="163"/>
      <c r="N21" s="163"/>
      <c r="O21" s="163"/>
      <c r="P21" s="163"/>
      <c r="Q21" s="163"/>
      <c r="R21" s="163"/>
      <c r="S21" s="163"/>
      <c r="T21" s="163"/>
      <c r="U21" s="163"/>
      <c r="V21" s="175"/>
    </row>
    <row r="22" spans="1:22" s="180" customFormat="1" ht="18" customHeight="1">
      <c r="A22" s="159"/>
      <c r="B22" s="179" t="s">
        <v>382</v>
      </c>
      <c r="C22" s="163">
        <f>SUM(C10*(1-D16))</f>
        <v>187</v>
      </c>
      <c r="D22" s="163"/>
      <c r="E22" s="163"/>
      <c r="F22" s="163"/>
      <c r="G22" s="163"/>
      <c r="H22" s="163"/>
      <c r="I22" s="163"/>
      <c r="J22" s="163"/>
      <c r="K22" s="163"/>
      <c r="L22" s="163"/>
      <c r="M22" s="163"/>
      <c r="N22" s="163"/>
      <c r="O22" s="163"/>
      <c r="P22" s="163"/>
      <c r="Q22" s="163"/>
      <c r="R22" s="163"/>
      <c r="S22" s="163"/>
      <c r="T22" s="163"/>
      <c r="U22" s="163"/>
      <c r="V22" s="175"/>
    </row>
    <row r="23" spans="1:22" s="180" customFormat="1" ht="18" customHeight="1">
      <c r="A23" s="159"/>
      <c r="B23" s="179" t="s">
        <v>406</v>
      </c>
      <c r="C23" s="166">
        <f>SUM(C11+(C17*100))</f>
        <v>220</v>
      </c>
      <c r="D23" s="249" t="s">
        <v>64</v>
      </c>
      <c r="E23" s="250">
        <f>ROUND((Input!H10*('Risk Analysis'!C23/100)*((100-Input!H15)/100)*((100-Input!H16)/100)),0)</f>
        <v>1024</v>
      </c>
      <c r="F23" s="163" t="s">
        <v>408</v>
      </c>
      <c r="G23" s="163"/>
      <c r="H23" s="163"/>
      <c r="I23" s="163"/>
      <c r="J23" s="163"/>
      <c r="K23" s="163"/>
      <c r="L23" s="163"/>
      <c r="M23" s="163"/>
      <c r="N23" s="163"/>
      <c r="O23" s="163"/>
      <c r="P23" s="163"/>
      <c r="Q23" s="163"/>
      <c r="R23" s="163"/>
      <c r="S23" s="163"/>
      <c r="T23" s="163"/>
      <c r="U23" s="163"/>
      <c r="V23" s="175"/>
    </row>
    <row r="24" spans="1:22" s="180" customFormat="1" ht="18" customHeight="1">
      <c r="A24" s="159"/>
      <c r="B24" s="179" t="s">
        <v>407</v>
      </c>
      <c r="C24" s="166">
        <f>SUM(C11-(D17*100))</f>
        <v>180</v>
      </c>
      <c r="D24" s="249" t="s">
        <v>64</v>
      </c>
      <c r="E24" s="250">
        <f>ROUND((Input!H10*('Risk Analysis'!C24/100)*((100-Input!H15)/100)*((100-Input!H16)/100)),0)</f>
        <v>838</v>
      </c>
      <c r="F24" s="163" t="s">
        <v>408</v>
      </c>
      <c r="G24" s="163"/>
      <c r="H24" s="163"/>
      <c r="I24" s="163"/>
      <c r="J24" s="163"/>
      <c r="K24" s="163"/>
      <c r="L24" s="163"/>
      <c r="M24" s="163"/>
      <c r="N24" s="163"/>
      <c r="O24" s="163"/>
      <c r="P24" s="163"/>
      <c r="Q24" s="163"/>
      <c r="R24" s="163"/>
      <c r="S24" s="163"/>
      <c r="T24" s="163"/>
      <c r="U24" s="163"/>
      <c r="V24" s="175"/>
    </row>
    <row r="25" spans="1:22" s="180" customFormat="1" ht="18" customHeight="1">
      <c r="A25" s="159"/>
      <c r="B25" s="179" t="s">
        <v>393</v>
      </c>
      <c r="C25" s="191">
        <f>ROUND((C12*(1+C18)),1)</f>
        <v>112</v>
      </c>
      <c r="D25" s="181"/>
      <c r="E25" s="181"/>
      <c r="F25" s="181"/>
      <c r="G25" s="181"/>
      <c r="H25" s="181"/>
      <c r="I25" s="181"/>
      <c r="J25" s="181"/>
      <c r="K25" s="181"/>
      <c r="L25" s="181"/>
      <c r="M25" s="181"/>
      <c r="N25" s="181"/>
      <c r="O25" s="181"/>
      <c r="P25" s="181"/>
      <c r="Q25" s="181"/>
      <c r="R25" s="181"/>
      <c r="S25" s="181"/>
      <c r="T25" s="181"/>
      <c r="U25" s="181"/>
      <c r="V25" s="175"/>
    </row>
    <row r="26" spans="1:22" s="180" customFormat="1" ht="18" customHeight="1">
      <c r="A26" s="159"/>
      <c r="B26" s="179" t="s">
        <v>394</v>
      </c>
      <c r="C26" s="191">
        <f>ROUND((C12*(1-D18)),1)</f>
        <v>106.7</v>
      </c>
      <c r="D26" s="181"/>
      <c r="E26" s="181"/>
      <c r="F26" s="181"/>
      <c r="G26" s="181"/>
      <c r="H26" s="181"/>
      <c r="I26" s="181"/>
      <c r="J26" s="181"/>
      <c r="K26" s="181"/>
      <c r="L26" s="181"/>
      <c r="M26" s="181"/>
      <c r="N26" s="181"/>
      <c r="O26" s="181"/>
      <c r="P26" s="181"/>
      <c r="Q26" s="181"/>
      <c r="R26" s="181"/>
      <c r="S26" s="181"/>
      <c r="T26" s="181"/>
      <c r="U26" s="181"/>
      <c r="V26" s="175"/>
    </row>
    <row r="27" spans="1:22" s="180" customFormat="1" ht="18" customHeight="1">
      <c r="A27" s="159"/>
      <c r="B27" s="179"/>
      <c r="C27" s="181"/>
      <c r="D27" s="181"/>
      <c r="E27" s="181"/>
      <c r="F27" s="181"/>
      <c r="G27" s="181"/>
      <c r="H27" s="181"/>
      <c r="I27" s="181"/>
      <c r="J27" s="181"/>
      <c r="K27" s="181"/>
      <c r="L27" s="181"/>
      <c r="M27" s="181"/>
      <c r="N27" s="181"/>
      <c r="O27" s="181"/>
      <c r="P27" s="181"/>
      <c r="Q27" s="181"/>
      <c r="R27" s="181"/>
      <c r="S27" s="181"/>
      <c r="T27" s="181"/>
      <c r="U27" s="181"/>
      <c r="V27" s="175"/>
    </row>
    <row r="28" ht="18" customHeight="1">
      <c r="A28" s="174"/>
    </row>
    <row r="29" spans="1:27" s="180" customFormat="1" ht="18">
      <c r="A29" s="182" t="str">
        <f>"Higher Margin Scenario - Price Up "&amp;C16*100&amp;"%, Lamb Crop Up "&amp;C17*100&amp;"% and Lamb Weight Up "&amp;C18*100&amp;"%"</f>
        <v>Higher Margin Scenario - Price Up 5%, Lamb Crop Up 20% and Lamb Weight Up 5%</v>
      </c>
      <c r="B29" s="175"/>
      <c r="C29" s="183"/>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row>
    <row r="30" spans="1:27" s="180" customFormat="1" ht="18">
      <c r="A30" s="182"/>
      <c r="B30" s="175"/>
      <c r="C30" s="153" t="s">
        <v>387</v>
      </c>
      <c r="D30" s="147"/>
      <c r="E30" s="153" t="s">
        <v>388</v>
      </c>
      <c r="F30" s="141"/>
      <c r="G30" s="141"/>
      <c r="H30" s="141"/>
      <c r="I30" s="141"/>
      <c r="J30" s="141"/>
      <c r="K30" s="141"/>
      <c r="L30" s="141"/>
      <c r="M30" s="141"/>
      <c r="N30" s="141"/>
      <c r="O30" s="141"/>
      <c r="P30" s="141"/>
      <c r="Q30" s="141"/>
      <c r="R30" s="141"/>
      <c r="S30" s="141"/>
      <c r="T30" s="141"/>
      <c r="U30" s="141"/>
      <c r="V30" s="141"/>
      <c r="W30" s="141"/>
      <c r="X30" s="141"/>
      <c r="Y30" s="141"/>
      <c r="Z30" s="141"/>
      <c r="AA30" s="141"/>
    </row>
    <row r="31" spans="1:21" ht="18">
      <c r="A31" s="174"/>
      <c r="B31" s="141" t="s">
        <v>395</v>
      </c>
      <c r="C31" s="163">
        <f>SUM(((C21/100)*C25*E23+Summary!$J$53)/Input!$H$10)</f>
        <v>533.7065600000001</v>
      </c>
      <c r="D31" s="163"/>
      <c r="E31" s="163">
        <f>SUM(C31*(Input!$H$10/'Risk Analysis'!$E$23))</f>
        <v>260.59890625</v>
      </c>
      <c r="F31" s="163"/>
      <c r="H31" s="165"/>
      <c r="I31" s="163"/>
      <c r="J31" s="163"/>
      <c r="K31" s="163"/>
      <c r="L31" s="163"/>
      <c r="M31" s="163"/>
      <c r="N31" s="163"/>
      <c r="O31" s="163"/>
      <c r="P31" s="163"/>
      <c r="Q31" s="163"/>
      <c r="R31" s="163"/>
      <c r="S31" s="163"/>
      <c r="T31" s="163"/>
      <c r="U31" s="163"/>
    </row>
    <row r="32" spans="1:21" ht="18">
      <c r="A32" s="143"/>
      <c r="B32" s="141" t="s">
        <v>352</v>
      </c>
      <c r="C32" s="170"/>
      <c r="D32" s="170"/>
      <c r="E32" s="170"/>
      <c r="F32" s="170"/>
      <c r="G32" s="170"/>
      <c r="H32" s="170"/>
      <c r="I32" s="170"/>
      <c r="J32" s="170"/>
      <c r="K32" s="170"/>
      <c r="L32" s="170"/>
      <c r="M32" s="170"/>
      <c r="N32" s="170"/>
      <c r="O32" s="170"/>
      <c r="P32" s="170"/>
      <c r="Q32" s="170"/>
      <c r="R32" s="170"/>
      <c r="S32" s="170"/>
      <c r="T32" s="170"/>
      <c r="U32" s="170"/>
    </row>
    <row r="33" spans="1:21" ht="18">
      <c r="A33" s="174"/>
      <c r="B33" s="184" t="s">
        <v>383</v>
      </c>
      <c r="C33" s="185">
        <f>SUM(C31-C4)</f>
        <v>264.0413067702549</v>
      </c>
      <c r="D33" s="185"/>
      <c r="E33" s="185">
        <f>SUM(C33*(Input!$H$10/'Risk Analysis'!$E$23))</f>
        <v>128.92641932141353</v>
      </c>
      <c r="F33" s="185"/>
      <c r="G33" s="185"/>
      <c r="H33" s="185"/>
      <c r="I33" s="185"/>
      <c r="J33" s="185"/>
      <c r="K33" s="185"/>
      <c r="L33" s="185"/>
      <c r="M33" s="185"/>
      <c r="N33" s="185"/>
      <c r="O33" s="185"/>
      <c r="P33" s="185"/>
      <c r="Q33" s="185"/>
      <c r="R33" s="185"/>
      <c r="S33" s="185"/>
      <c r="T33" s="185"/>
      <c r="U33" s="185"/>
    </row>
    <row r="34" spans="1:21" ht="18">
      <c r="A34" s="174"/>
      <c r="B34" s="186" t="s">
        <v>384</v>
      </c>
      <c r="C34" s="185">
        <f>SUM(C31-C4-C6)</f>
        <v>214.5413067702549</v>
      </c>
      <c r="D34" s="185"/>
      <c r="E34" s="185">
        <f>SUM(C34*(Input!$H$10/'Risk Analysis'!$E$23))</f>
        <v>104.75649744641352</v>
      </c>
      <c r="F34" s="185"/>
      <c r="G34" s="185"/>
      <c r="H34" s="185"/>
      <c r="I34" s="185"/>
      <c r="J34" s="185"/>
      <c r="K34" s="185"/>
      <c r="L34" s="185"/>
      <c r="M34" s="185"/>
      <c r="N34" s="185"/>
      <c r="O34" s="185"/>
      <c r="P34" s="185"/>
      <c r="Q34" s="185"/>
      <c r="R34" s="185"/>
      <c r="S34" s="185"/>
      <c r="T34" s="185"/>
      <c r="U34" s="185"/>
    </row>
    <row r="35" spans="1:21" ht="18">
      <c r="A35" s="174"/>
      <c r="B35" s="186" t="s">
        <v>385</v>
      </c>
      <c r="C35" s="185">
        <f>SUM(C31-C4-C5)</f>
        <v>225.68990677025488</v>
      </c>
      <c r="D35" s="185"/>
      <c r="E35" s="185">
        <f>SUM(C35*(Input!$H$10/'Risk Analysis'!$E$23))</f>
        <v>110.20014979016352</v>
      </c>
      <c r="F35" s="185"/>
      <c r="G35" s="185"/>
      <c r="H35" s="185"/>
      <c r="I35" s="185"/>
      <c r="J35" s="185"/>
      <c r="K35" s="185"/>
      <c r="L35" s="185"/>
      <c r="M35" s="185"/>
      <c r="N35" s="185"/>
      <c r="O35" s="185"/>
      <c r="P35" s="185"/>
      <c r="Q35" s="185"/>
      <c r="R35" s="185"/>
      <c r="S35" s="185"/>
      <c r="T35" s="185"/>
      <c r="U35" s="185"/>
    </row>
    <row r="36" spans="1:21" ht="18">
      <c r="A36" s="174"/>
      <c r="B36" s="184" t="s">
        <v>386</v>
      </c>
      <c r="C36" s="185">
        <f>SUM(C31-C7)</f>
        <v>176.18990677025488</v>
      </c>
      <c r="D36" s="185"/>
      <c r="E36" s="185">
        <f>SUM(C36*(Input!$H$10/'Risk Analysis'!$E$23))</f>
        <v>86.03022791516352</v>
      </c>
      <c r="F36" s="185"/>
      <c r="G36" s="185"/>
      <c r="H36" s="185"/>
      <c r="I36" s="185"/>
      <c r="J36" s="185"/>
      <c r="K36" s="185"/>
      <c r="L36" s="185"/>
      <c r="M36" s="185"/>
      <c r="N36" s="185"/>
      <c r="O36" s="185"/>
      <c r="P36" s="185"/>
      <c r="Q36" s="185"/>
      <c r="R36" s="185"/>
      <c r="S36" s="185"/>
      <c r="T36" s="185"/>
      <c r="U36" s="185"/>
    </row>
    <row r="37" spans="1:21" ht="18">
      <c r="A37" s="174"/>
      <c r="B37" s="141" t="s">
        <v>357</v>
      </c>
      <c r="C37" s="187">
        <f>SUM(C4/C31)</f>
        <v>0.5052687627256167</v>
      </c>
      <c r="D37" s="187"/>
      <c r="E37" s="187"/>
      <c r="F37" s="187"/>
      <c r="G37" s="187"/>
      <c r="H37" s="187"/>
      <c r="I37" s="187"/>
      <c r="J37" s="187"/>
      <c r="K37" s="187"/>
      <c r="L37" s="187"/>
      <c r="M37" s="187"/>
      <c r="N37" s="187"/>
      <c r="O37" s="187"/>
      <c r="P37" s="187"/>
      <c r="Q37" s="187"/>
      <c r="R37" s="187"/>
      <c r="S37" s="187"/>
      <c r="T37" s="187"/>
      <c r="U37" s="187"/>
    </row>
    <row r="38" spans="1:22" s="180" customFormat="1" ht="18">
      <c r="A38" s="159"/>
      <c r="B38" s="141"/>
      <c r="C38" s="188"/>
      <c r="D38" s="188"/>
      <c r="E38" s="188"/>
      <c r="F38" s="188"/>
      <c r="G38" s="188"/>
      <c r="H38" s="188"/>
      <c r="I38" s="188"/>
      <c r="J38" s="188"/>
      <c r="K38" s="188"/>
      <c r="L38" s="188"/>
      <c r="M38" s="188"/>
      <c r="N38" s="188"/>
      <c r="O38" s="188"/>
      <c r="P38" s="188"/>
      <c r="Q38" s="188"/>
      <c r="R38" s="188"/>
      <c r="S38" s="188"/>
      <c r="T38" s="188"/>
      <c r="U38" s="188"/>
      <c r="V38" s="175"/>
    </row>
    <row r="39" ht="18" customHeight="1">
      <c r="A39" s="174"/>
    </row>
    <row r="40" spans="1:27" s="180" customFormat="1" ht="18">
      <c r="A40" s="182" t="str">
        <f>"Lower Margin Scenario - Price Down "&amp;D16*100&amp;"%, Lamb Crop Down "&amp;D17*100&amp;"% and Lamb Weight Down "&amp;D18*100&amp;"%"</f>
        <v>Lower Margin Scenario - Price Down 15%, Lamb Crop Down 20% and Lamb Weight Down 0%</v>
      </c>
      <c r="B40" s="175"/>
      <c r="C40" s="183"/>
      <c r="D40" s="183"/>
      <c r="E40" s="183"/>
      <c r="F40" s="183"/>
      <c r="G40" s="183"/>
      <c r="H40" s="183"/>
      <c r="I40" s="183"/>
      <c r="J40" s="183"/>
      <c r="K40" s="183"/>
      <c r="L40" s="183"/>
      <c r="M40" s="183"/>
      <c r="N40" s="183"/>
      <c r="O40" s="183"/>
      <c r="P40" s="183"/>
      <c r="Q40" s="183"/>
      <c r="R40" s="183"/>
      <c r="S40" s="183"/>
      <c r="T40" s="183"/>
      <c r="U40" s="183"/>
      <c r="V40" s="141"/>
      <c r="W40" s="141"/>
      <c r="X40" s="141"/>
      <c r="Y40" s="141"/>
      <c r="Z40" s="141"/>
      <c r="AA40" s="141"/>
    </row>
    <row r="41" spans="1:27" s="180" customFormat="1" ht="18">
      <c r="A41" s="182"/>
      <c r="B41" s="175"/>
      <c r="C41" s="153" t="s">
        <v>387</v>
      </c>
      <c r="D41" s="147"/>
      <c r="E41" s="153" t="s">
        <v>388</v>
      </c>
      <c r="F41" s="183"/>
      <c r="G41" s="183"/>
      <c r="H41" s="183"/>
      <c r="I41" s="183"/>
      <c r="J41" s="183"/>
      <c r="K41" s="183"/>
      <c r="L41" s="183"/>
      <c r="M41" s="183"/>
      <c r="N41" s="183"/>
      <c r="O41" s="183"/>
      <c r="P41" s="183"/>
      <c r="Q41" s="183"/>
      <c r="R41" s="183"/>
      <c r="S41" s="183"/>
      <c r="T41" s="183"/>
      <c r="U41" s="183"/>
      <c r="V41" s="141"/>
      <c r="W41" s="141"/>
      <c r="X41" s="141"/>
      <c r="Y41" s="141"/>
      <c r="Z41" s="141"/>
      <c r="AA41" s="141"/>
    </row>
    <row r="42" spans="1:21" ht="18">
      <c r="A42" s="174"/>
      <c r="B42" s="141" t="s">
        <v>373</v>
      </c>
      <c r="C42" s="163">
        <f>SUM(((C22/100)*C26*E24+Summary!$J$53)/Input!$H$10)</f>
        <v>338.25860400000005</v>
      </c>
      <c r="D42" s="163"/>
      <c r="E42" s="163">
        <f>SUM(C42*(Input!$H$10/'Risk Analysis'!$E$24))</f>
        <v>201.82494272076374</v>
      </c>
      <c r="F42" s="163"/>
      <c r="G42" s="163"/>
      <c r="H42" s="163"/>
      <c r="I42" s="163"/>
      <c r="J42" s="163"/>
      <c r="K42" s="163"/>
      <c r="L42" s="163"/>
      <c r="M42" s="163"/>
      <c r="N42" s="163"/>
      <c r="O42" s="163"/>
      <c r="P42" s="163"/>
      <c r="Q42" s="163"/>
      <c r="R42" s="163"/>
      <c r="S42" s="163"/>
      <c r="T42" s="163"/>
      <c r="U42" s="163"/>
    </row>
    <row r="43" spans="1:21" ht="18">
      <c r="A43" s="143"/>
      <c r="B43" s="141" t="s">
        <v>352</v>
      </c>
      <c r="C43" s="170"/>
      <c r="D43" s="170"/>
      <c r="E43" s="170"/>
      <c r="F43" s="170"/>
      <c r="G43" s="170"/>
      <c r="H43" s="165"/>
      <c r="I43" s="170"/>
      <c r="J43" s="170"/>
      <c r="K43" s="170"/>
      <c r="L43" s="170"/>
      <c r="M43" s="170"/>
      <c r="N43" s="170"/>
      <c r="O43" s="170"/>
      <c r="P43" s="170"/>
      <c r="Q43" s="170"/>
      <c r="R43" s="170"/>
      <c r="S43" s="170"/>
      <c r="T43" s="170"/>
      <c r="U43" s="170"/>
    </row>
    <row r="44" spans="1:21" ht="18">
      <c r="A44" s="174"/>
      <c r="B44" s="184" t="s">
        <v>383</v>
      </c>
      <c r="C44" s="185">
        <f>SUM(C42-C4)</f>
        <v>68.59335077025486</v>
      </c>
      <c r="D44" s="185"/>
      <c r="E44" s="185">
        <f>SUM(C44*(Input!$H$10/'Risk Analysis'!$E$24))</f>
        <v>40.92682026864848</v>
      </c>
      <c r="F44" s="185"/>
      <c r="G44" s="185"/>
      <c r="H44" s="185"/>
      <c r="I44" s="185"/>
      <c r="J44" s="185"/>
      <c r="K44" s="185"/>
      <c r="L44" s="185"/>
      <c r="M44" s="185"/>
      <c r="N44" s="185"/>
      <c r="O44" s="185"/>
      <c r="P44" s="185"/>
      <c r="Q44" s="185"/>
      <c r="R44" s="185"/>
      <c r="S44" s="185"/>
      <c r="T44" s="185"/>
      <c r="U44" s="185"/>
    </row>
    <row r="45" spans="1:21" ht="18">
      <c r="A45" s="174"/>
      <c r="B45" s="186" t="s">
        <v>384</v>
      </c>
      <c r="C45" s="185">
        <f>SUM(C42-C4-C6)</f>
        <v>19.093350770254858</v>
      </c>
      <c r="D45" s="185"/>
      <c r="E45" s="185">
        <f>SUM(C45*(Input!$H$10/'Risk Analysis'!$E$24))</f>
        <v>11.392214063397885</v>
      </c>
      <c r="F45" s="185"/>
      <c r="G45" s="185"/>
      <c r="H45" s="185"/>
      <c r="I45" s="185"/>
      <c r="J45" s="185"/>
      <c r="K45" s="185"/>
      <c r="L45" s="185"/>
      <c r="M45" s="185"/>
      <c r="N45" s="185"/>
      <c r="O45" s="185"/>
      <c r="P45" s="185"/>
      <c r="Q45" s="185"/>
      <c r="R45" s="185"/>
      <c r="S45" s="185"/>
      <c r="T45" s="185"/>
      <c r="U45" s="185"/>
    </row>
    <row r="46" spans="1:21" ht="18">
      <c r="A46" s="174"/>
      <c r="B46" s="186" t="s">
        <v>385</v>
      </c>
      <c r="C46" s="185">
        <f>SUM(C42-C4-C5)</f>
        <v>30.24195077025486</v>
      </c>
      <c r="D46" s="185"/>
      <c r="E46" s="185">
        <f>SUM(C46*(Input!$H$10/'Risk Analysis'!$E$24))</f>
        <v>18.04412337127378</v>
      </c>
      <c r="F46" s="185"/>
      <c r="G46" s="185"/>
      <c r="H46" s="185"/>
      <c r="I46" s="185"/>
      <c r="J46" s="185"/>
      <c r="K46" s="185"/>
      <c r="L46" s="185"/>
      <c r="M46" s="185"/>
      <c r="N46" s="185"/>
      <c r="O46" s="185"/>
      <c r="P46" s="185"/>
      <c r="Q46" s="185"/>
      <c r="R46" s="185"/>
      <c r="S46" s="185"/>
      <c r="T46" s="185"/>
      <c r="U46" s="185"/>
    </row>
    <row r="47" spans="1:21" ht="18">
      <c r="A47" s="174"/>
      <c r="B47" s="184" t="s">
        <v>386</v>
      </c>
      <c r="C47" s="185">
        <f>SUM(C42-C7)</f>
        <v>-19.258049229745154</v>
      </c>
      <c r="D47" s="185"/>
      <c r="E47" s="185">
        <f>SUM(C47*(Input!$H$10/'Risk Analysis'!$E$24))</f>
        <v>-11.490482833976822</v>
      </c>
      <c r="F47" s="185"/>
      <c r="G47" s="185"/>
      <c r="H47" s="185"/>
      <c r="I47" s="185"/>
      <c r="J47" s="185"/>
      <c r="K47" s="185"/>
      <c r="L47" s="185"/>
      <c r="M47" s="185"/>
      <c r="N47" s="185"/>
      <c r="O47" s="185"/>
      <c r="P47" s="185"/>
      <c r="Q47" s="185"/>
      <c r="R47" s="185"/>
      <c r="S47" s="185"/>
      <c r="T47" s="185"/>
      <c r="U47" s="185"/>
    </row>
    <row r="48" spans="1:21" ht="18">
      <c r="A48" s="174"/>
      <c r="B48" s="141" t="s">
        <v>357</v>
      </c>
      <c r="C48" s="187">
        <f>SUM(C4/C42)</f>
        <v>0.7972162423686499</v>
      </c>
      <c r="D48" s="187"/>
      <c r="E48" s="187"/>
      <c r="F48" s="187"/>
      <c r="G48" s="187"/>
      <c r="H48" s="187"/>
      <c r="I48" s="187"/>
      <c r="J48" s="187"/>
      <c r="K48" s="187"/>
      <c r="L48" s="187"/>
      <c r="M48" s="187"/>
      <c r="N48" s="187"/>
      <c r="O48" s="187"/>
      <c r="P48" s="187"/>
      <c r="Q48" s="187"/>
      <c r="R48" s="187"/>
      <c r="S48" s="187"/>
      <c r="T48" s="187"/>
      <c r="U48" s="187"/>
    </row>
    <row r="49" ht="18">
      <c r="A49" s="174"/>
    </row>
    <row r="50" ht="18">
      <c r="A50" s="174"/>
    </row>
    <row r="51" ht="7.5" customHeight="1">
      <c r="A51" s="174"/>
    </row>
    <row r="52" spans="1:22" s="180" customFormat="1" ht="18" customHeight="1">
      <c r="A52" s="159"/>
      <c r="B52" s="376" t="s">
        <v>400</v>
      </c>
      <c r="C52" s="376"/>
      <c r="D52" s="376"/>
      <c r="E52" s="376"/>
      <c r="F52" s="376"/>
      <c r="G52" s="376"/>
      <c r="H52" s="376"/>
      <c r="I52" s="376"/>
      <c r="J52" s="376"/>
      <c r="K52" s="376"/>
      <c r="L52" s="189"/>
      <c r="M52" s="189"/>
      <c r="N52" s="189"/>
      <c r="O52" s="189"/>
      <c r="P52" s="189"/>
      <c r="Q52" s="189"/>
      <c r="R52" s="189"/>
      <c r="S52" s="189"/>
      <c r="T52" s="189"/>
      <c r="U52" s="189"/>
      <c r="V52" s="175"/>
    </row>
    <row r="53" spans="1:22" s="180" customFormat="1" ht="18">
      <c r="A53" s="159"/>
      <c r="B53" s="376"/>
      <c r="C53" s="376"/>
      <c r="D53" s="376"/>
      <c r="E53" s="376"/>
      <c r="F53" s="376"/>
      <c r="G53" s="376"/>
      <c r="H53" s="376"/>
      <c r="I53" s="376"/>
      <c r="J53" s="376"/>
      <c r="K53" s="376"/>
      <c r="L53" s="189"/>
      <c r="M53" s="189"/>
      <c r="N53" s="189"/>
      <c r="O53" s="189"/>
      <c r="P53" s="189"/>
      <c r="Q53" s="189"/>
      <c r="R53" s="189"/>
      <c r="S53" s="189"/>
      <c r="T53" s="189"/>
      <c r="U53" s="189"/>
      <c r="V53" s="175"/>
    </row>
    <row r="54" spans="1:22" s="180" customFormat="1" ht="18">
      <c r="A54" s="159"/>
      <c r="B54" s="175"/>
      <c r="C54" s="175"/>
      <c r="D54" s="175"/>
      <c r="E54" s="175"/>
      <c r="F54" s="175"/>
      <c r="G54" s="175"/>
      <c r="H54" s="175"/>
      <c r="I54" s="175"/>
      <c r="J54" s="175"/>
      <c r="K54" s="175"/>
      <c r="L54" s="175"/>
      <c r="M54" s="175"/>
      <c r="N54" s="175"/>
      <c r="O54" s="175"/>
      <c r="P54" s="175"/>
      <c r="Q54" s="175"/>
      <c r="R54" s="175"/>
      <c r="S54" s="175"/>
      <c r="T54" s="175"/>
      <c r="U54" s="175"/>
      <c r="V54" s="175"/>
    </row>
    <row r="55" ht="7.5" customHeight="1">
      <c r="A55" s="174"/>
    </row>
    <row r="56" ht="18">
      <c r="A56" s="174"/>
    </row>
    <row r="57" ht="18">
      <c r="A57" s="174"/>
    </row>
    <row r="58" ht="18">
      <c r="A58" s="174"/>
    </row>
    <row r="59" ht="18">
      <c r="A59" s="174"/>
    </row>
    <row r="60" ht="7.5" customHeight="1">
      <c r="A60" s="174"/>
    </row>
    <row r="61" ht="18">
      <c r="A61" s="174"/>
    </row>
    <row r="62" ht="18">
      <c r="A62" s="174"/>
    </row>
    <row r="63" ht="18">
      <c r="A63" s="174"/>
    </row>
    <row r="64" ht="18">
      <c r="A64" s="174"/>
    </row>
    <row r="65" ht="7.5" customHeight="1">
      <c r="A65" s="174"/>
    </row>
    <row r="66" ht="18">
      <c r="A66" s="174"/>
    </row>
    <row r="67" spans="23:36" s="157" customFormat="1" ht="18" customHeight="1">
      <c r="W67" s="143"/>
      <c r="X67" s="143"/>
      <c r="Y67" s="143"/>
      <c r="Z67" s="143"/>
      <c r="AA67" s="143"/>
      <c r="AB67" s="143"/>
      <c r="AC67" s="143"/>
      <c r="AD67" s="143"/>
      <c r="AE67" s="143"/>
      <c r="AF67" s="143"/>
      <c r="AG67" s="143"/>
      <c r="AH67" s="143"/>
      <c r="AI67" s="143"/>
      <c r="AJ67" s="143"/>
    </row>
  </sheetData>
  <sheetProtection password="C6A6" sheet="1" objects="1" scenarios="1"/>
  <mergeCells count="3">
    <mergeCell ref="B1:K1"/>
    <mergeCell ref="N2:O2"/>
    <mergeCell ref="B52:K53"/>
  </mergeCells>
  <printOptions horizontalCentered="1"/>
  <pageMargins left="0.5511811023622047" right="0.5511811023622047" top="0.984251968503937" bottom="0.984251968503937" header="0.5118110236220472" footer="0.5118110236220472"/>
  <pageSetup firstPageNumber="3" useFirstPageNumber="1" fitToHeight="1" fitToWidth="1" horizontalDpi="600" verticalDpi="600" orientation="portrait" pageOrder="overThenDown" scale="67" r:id="rId1"/>
  <headerFooter scaleWithDoc="0" alignWithMargins="0">
    <oddHeader>&amp;L&amp;8Guidelines: Lamb Production Costs&amp;R&amp;8&amp;P</oddHeader>
    <oddFooter>&amp;R&amp;"Arial,Regular"&amp;9Manitoba Agriculture, Farm Management</oddFooter>
  </headerFooter>
</worksheet>
</file>

<file path=xl/worksheets/sheet4.xml><?xml version="1.0" encoding="utf-8"?>
<worksheet xmlns="http://schemas.openxmlformats.org/spreadsheetml/2006/main" xmlns:r="http://schemas.openxmlformats.org/officeDocument/2006/relationships">
  <sheetPr codeName="Sheet2"/>
  <dimension ref="A2:O194"/>
  <sheetViews>
    <sheetView zoomScalePageLayoutView="0" workbookViewId="0" topLeftCell="A1">
      <selection activeCell="H10" sqref="H10"/>
    </sheetView>
  </sheetViews>
  <sheetFormatPr defaultColWidth="9.140625" defaultRowHeight="15.75" customHeight="1"/>
  <cols>
    <col min="1" max="3" width="9.140625" style="2" customWidth="1"/>
    <col min="4" max="4" width="12.7109375" style="2" customWidth="1"/>
    <col min="5" max="5" width="10.140625" style="2" customWidth="1"/>
    <col min="6" max="6" width="9.7109375" style="2" bestFit="1" customWidth="1"/>
    <col min="7" max="7" width="10.140625" style="2" customWidth="1"/>
    <col min="8" max="8" width="11.57421875" style="2" customWidth="1"/>
    <col min="9" max="9" width="11.28125" style="2" customWidth="1"/>
    <col min="10" max="10" width="13.28125" style="2" customWidth="1"/>
    <col min="11" max="16384" width="9.140625" style="2" customWidth="1"/>
  </cols>
  <sheetData>
    <row r="2" spans="2:10" ht="18">
      <c r="B2" s="372" t="s">
        <v>362</v>
      </c>
      <c r="C2" s="383"/>
      <c r="D2" s="383"/>
      <c r="E2" s="383"/>
      <c r="F2" s="383"/>
      <c r="G2" s="383"/>
      <c r="H2" s="383"/>
      <c r="I2" s="383"/>
      <c r="J2" s="383"/>
    </row>
    <row r="3" ht="15.75" customHeight="1">
      <c r="B3" s="1"/>
    </row>
    <row r="4" ht="15.75" customHeight="1">
      <c r="B4" s="3" t="s">
        <v>210</v>
      </c>
    </row>
    <row r="5" ht="15.75" customHeight="1">
      <c r="B5" s="3" t="s">
        <v>17</v>
      </c>
    </row>
    <row r="6" ht="15.75" customHeight="1">
      <c r="B6" s="3" t="s">
        <v>18</v>
      </c>
    </row>
    <row r="7" ht="15.75" customHeight="1">
      <c r="B7" s="3" t="s">
        <v>274</v>
      </c>
    </row>
    <row r="9" spans="2:10" ht="15.75" customHeight="1">
      <c r="B9" s="1" t="s">
        <v>363</v>
      </c>
      <c r="H9" s="14" t="s">
        <v>19</v>
      </c>
      <c r="J9" s="15"/>
    </row>
    <row r="10" spans="2:8" ht="15.75" customHeight="1">
      <c r="B10" s="3" t="s">
        <v>425</v>
      </c>
      <c r="H10" s="120">
        <v>500</v>
      </c>
    </row>
    <row r="11" spans="2:8" ht="15.75" customHeight="1">
      <c r="B11" s="3" t="s">
        <v>276</v>
      </c>
      <c r="H11" s="56">
        <v>13</v>
      </c>
    </row>
    <row r="12" spans="2:8" ht="15.75" customHeight="1">
      <c r="B12" s="3" t="s">
        <v>67</v>
      </c>
      <c r="H12" s="56">
        <v>200</v>
      </c>
    </row>
    <row r="13" spans="2:8" ht="15.75" customHeight="1">
      <c r="B13" s="3" t="s">
        <v>371</v>
      </c>
      <c r="H13" s="56">
        <v>3</v>
      </c>
    </row>
    <row r="14" spans="2:8" ht="15.75" customHeight="1">
      <c r="B14" s="3" t="s">
        <v>277</v>
      </c>
      <c r="H14" s="56">
        <v>15</v>
      </c>
    </row>
    <row r="15" spans="2:8" ht="15.75" customHeight="1">
      <c r="B15" s="3" t="s">
        <v>69</v>
      </c>
      <c r="H15" s="117">
        <v>5</v>
      </c>
    </row>
    <row r="16" spans="2:8" ht="15.75" customHeight="1">
      <c r="B16" s="3" t="s">
        <v>70</v>
      </c>
      <c r="H16" s="117">
        <v>2</v>
      </c>
    </row>
    <row r="17" spans="2:8" ht="15.75" customHeight="1">
      <c r="B17" s="3" t="s">
        <v>71</v>
      </c>
      <c r="H17" s="132">
        <f>ROUND((((H10*H12/100)*(100-H15)/100)*(100-H16)/100),0)</f>
        <v>931</v>
      </c>
    </row>
    <row r="18" spans="2:8" ht="15.75" customHeight="1">
      <c r="B18" s="3" t="s">
        <v>275</v>
      </c>
      <c r="H18" s="133">
        <f>ROUND(H17/H10,2)</f>
        <v>1.86</v>
      </c>
    </row>
    <row r="19" spans="2:8" ht="15.75" customHeight="1">
      <c r="B19" s="3" t="s">
        <v>369</v>
      </c>
      <c r="H19" s="242">
        <v>110</v>
      </c>
    </row>
    <row r="20" spans="2:10" ht="15.75" customHeight="1">
      <c r="B20" s="3" t="s">
        <v>323</v>
      </c>
      <c r="H20" s="243">
        <v>0.03</v>
      </c>
      <c r="J20" s="121"/>
    </row>
    <row r="21" spans="2:8" ht="15.75" customHeight="1">
      <c r="B21" s="3" t="s">
        <v>370</v>
      </c>
      <c r="H21" s="133">
        <f>H19*(1-H20)</f>
        <v>106.7</v>
      </c>
    </row>
    <row r="22" spans="2:9" ht="15.75" customHeight="1">
      <c r="B22" s="138" t="s">
        <v>404</v>
      </c>
      <c r="C22" s="121"/>
      <c r="D22" s="121"/>
      <c r="E22" s="121"/>
      <c r="F22" s="121"/>
      <c r="G22" s="121"/>
      <c r="H22" s="353">
        <v>220</v>
      </c>
      <c r="I22" s="121"/>
    </row>
    <row r="23" spans="2:8" ht="15.75" customHeight="1">
      <c r="B23" s="3" t="s">
        <v>257</v>
      </c>
      <c r="H23" s="56">
        <v>5</v>
      </c>
    </row>
    <row r="24" spans="2:8" ht="15.75" customHeight="1">
      <c r="B24" s="3" t="s">
        <v>258</v>
      </c>
      <c r="H24" s="136">
        <v>0.75</v>
      </c>
    </row>
    <row r="25" ht="15.75" customHeight="1">
      <c r="B25" s="3"/>
    </row>
    <row r="26" spans="2:10" ht="18">
      <c r="B26" s="377" t="s">
        <v>122</v>
      </c>
      <c r="C26" s="378"/>
      <c r="D26" s="378"/>
      <c r="E26" s="378"/>
      <c r="F26" s="378"/>
      <c r="G26" s="378"/>
      <c r="H26" s="378"/>
      <c r="I26" s="378"/>
      <c r="J26" s="378"/>
    </row>
    <row r="27" spans="2:14" ht="15.75" customHeight="1">
      <c r="B27" s="46"/>
      <c r="C27" s="54"/>
      <c r="D27" s="54"/>
      <c r="E27" s="54"/>
      <c r="F27" s="54"/>
      <c r="G27" s="36" t="s">
        <v>131</v>
      </c>
      <c r="H27" s="36" t="s">
        <v>234</v>
      </c>
      <c r="I27" s="265"/>
      <c r="J27" s="266"/>
      <c r="K27" s="121"/>
      <c r="L27" s="121"/>
      <c r="M27" s="121"/>
      <c r="N27" s="121"/>
    </row>
    <row r="28" spans="2:10" ht="15.75" customHeight="1">
      <c r="B28" s="50" t="s">
        <v>246</v>
      </c>
      <c r="D28" s="54"/>
      <c r="E28" s="52" t="s">
        <v>232</v>
      </c>
      <c r="F28" s="54"/>
      <c r="G28" s="37" t="s">
        <v>233</v>
      </c>
      <c r="H28" s="37" t="s">
        <v>235</v>
      </c>
      <c r="I28" s="54"/>
      <c r="J28" s="54"/>
    </row>
    <row r="29" spans="2:10" ht="15.75" customHeight="1">
      <c r="B29" s="53" t="s">
        <v>260</v>
      </c>
      <c r="D29" s="54"/>
      <c r="I29" s="54"/>
      <c r="J29" s="54"/>
    </row>
    <row r="30" spans="2:10" ht="15.75" customHeight="1">
      <c r="B30" s="2" t="s">
        <v>124</v>
      </c>
      <c r="C30" s="58">
        <v>30</v>
      </c>
      <c r="E30" s="48" t="s">
        <v>424</v>
      </c>
      <c r="F30" s="54"/>
      <c r="G30" s="192">
        <v>2.8</v>
      </c>
      <c r="H30" s="255">
        <v>85</v>
      </c>
      <c r="I30" s="365"/>
      <c r="J30" s="54"/>
    </row>
    <row r="31" spans="2:12" ht="15.75" customHeight="1">
      <c r="B31" s="46"/>
      <c r="C31" s="58">
        <v>30</v>
      </c>
      <c r="E31" s="48" t="s">
        <v>127</v>
      </c>
      <c r="F31" s="54"/>
      <c r="G31" s="192">
        <v>0.6</v>
      </c>
      <c r="H31" s="255">
        <v>195</v>
      </c>
      <c r="I31" s="265"/>
      <c r="J31" s="54"/>
      <c r="L31" s="121"/>
    </row>
    <row r="32" spans="2:10" ht="15.75" customHeight="1">
      <c r="B32" s="49" t="s">
        <v>261</v>
      </c>
      <c r="C32" s="54"/>
      <c r="D32" s="54"/>
      <c r="F32" s="54"/>
      <c r="G32" s="193"/>
      <c r="H32" s="193"/>
      <c r="I32" s="54"/>
      <c r="J32" s="54"/>
    </row>
    <row r="33" spans="2:10" ht="15.75" customHeight="1">
      <c r="B33" s="48" t="s">
        <v>124</v>
      </c>
      <c r="C33" s="59">
        <v>115</v>
      </c>
      <c r="D33" s="54"/>
      <c r="E33" s="48" t="s">
        <v>424</v>
      </c>
      <c r="F33" s="54"/>
      <c r="G33" s="192">
        <v>4.1</v>
      </c>
      <c r="H33" s="256">
        <f>H30</f>
        <v>85</v>
      </c>
      <c r="I33" s="54"/>
      <c r="J33" s="54"/>
    </row>
    <row r="34" spans="2:10" ht="15.75" customHeight="1">
      <c r="B34" s="48"/>
      <c r="C34" s="59">
        <v>115</v>
      </c>
      <c r="D34" s="54"/>
      <c r="E34" s="48" t="s">
        <v>127</v>
      </c>
      <c r="F34" s="54"/>
      <c r="G34" s="192">
        <v>0</v>
      </c>
      <c r="H34" s="256">
        <f>H31</f>
        <v>195</v>
      </c>
      <c r="I34" s="54"/>
      <c r="J34" s="54"/>
    </row>
    <row r="35" spans="2:10" ht="15.75" customHeight="1">
      <c r="B35" s="49" t="s">
        <v>262</v>
      </c>
      <c r="C35" s="54"/>
      <c r="D35" s="54"/>
      <c r="E35" s="54"/>
      <c r="F35" s="54"/>
      <c r="G35" s="193"/>
      <c r="H35" s="193"/>
      <c r="I35" s="54"/>
      <c r="J35" s="54"/>
    </row>
    <row r="36" spans="2:10" ht="15.75" customHeight="1">
      <c r="B36" s="48" t="s">
        <v>124</v>
      </c>
      <c r="C36" s="59">
        <v>30</v>
      </c>
      <c r="D36" s="54"/>
      <c r="E36" s="48" t="s">
        <v>426</v>
      </c>
      <c r="F36" s="54"/>
      <c r="G36" s="192">
        <v>3.6</v>
      </c>
      <c r="H36" s="256">
        <v>110</v>
      </c>
      <c r="I36" s="54"/>
      <c r="J36" s="54"/>
    </row>
    <row r="37" spans="2:10" ht="15.75" customHeight="1">
      <c r="B37" s="46"/>
      <c r="C37" s="59">
        <v>30</v>
      </c>
      <c r="D37" s="54"/>
      <c r="E37" s="48" t="s">
        <v>127</v>
      </c>
      <c r="F37" s="54"/>
      <c r="G37" s="192">
        <v>1</v>
      </c>
      <c r="H37" s="256">
        <f>H34</f>
        <v>195</v>
      </c>
      <c r="I37" s="54"/>
      <c r="J37" s="54"/>
    </row>
    <row r="38" spans="2:10" s="121" customFormat="1" ht="15.75" customHeight="1">
      <c r="B38" s="319"/>
      <c r="C38" s="320">
        <v>30</v>
      </c>
      <c r="D38" s="266"/>
      <c r="E38" s="272" t="s">
        <v>428</v>
      </c>
      <c r="F38" s="266"/>
      <c r="G38" s="192">
        <v>0.2</v>
      </c>
      <c r="H38" s="256">
        <v>325</v>
      </c>
      <c r="I38" s="265"/>
      <c r="J38" s="266"/>
    </row>
    <row r="39" spans="2:10" ht="15.75" customHeight="1">
      <c r="B39" s="49" t="s">
        <v>263</v>
      </c>
      <c r="C39" s="54"/>
      <c r="D39" s="54"/>
      <c r="E39" s="54"/>
      <c r="F39" s="54"/>
      <c r="G39" s="193"/>
      <c r="H39" s="193"/>
      <c r="I39" s="54"/>
      <c r="J39" s="54"/>
    </row>
    <row r="40" spans="2:10" ht="15.75" customHeight="1">
      <c r="B40" s="48" t="s">
        <v>124</v>
      </c>
      <c r="C40" s="59">
        <v>60</v>
      </c>
      <c r="D40" s="54"/>
      <c r="E40" s="48" t="s">
        <v>341</v>
      </c>
      <c r="F40" s="54"/>
      <c r="G40" s="192">
        <v>4.2</v>
      </c>
      <c r="H40" s="256">
        <v>130</v>
      </c>
      <c r="I40" s="54"/>
      <c r="J40" s="54"/>
    </row>
    <row r="41" spans="2:10" ht="15.75" customHeight="1">
      <c r="B41" s="46"/>
      <c r="C41" s="59">
        <v>60</v>
      </c>
      <c r="D41" s="54"/>
      <c r="E41" s="48" t="s">
        <v>127</v>
      </c>
      <c r="F41" s="54"/>
      <c r="G41" s="192">
        <v>1.5</v>
      </c>
      <c r="H41" s="256">
        <f>H37</f>
        <v>195</v>
      </c>
      <c r="I41" s="366"/>
      <c r="J41" s="54"/>
    </row>
    <row r="42" spans="2:10" ht="15.75" customHeight="1">
      <c r="B42" s="46"/>
      <c r="C42" s="54"/>
      <c r="D42" s="54"/>
      <c r="E42" s="48"/>
      <c r="F42" s="54"/>
      <c r="G42" s="83"/>
      <c r="H42" s="256"/>
      <c r="I42" s="54"/>
      <c r="J42" s="54"/>
    </row>
    <row r="43" spans="2:10" ht="15.75" customHeight="1">
      <c r="B43" s="3"/>
      <c r="E43" s="54"/>
      <c r="F43" s="54"/>
      <c r="G43" s="36" t="s">
        <v>131</v>
      </c>
      <c r="H43" s="36" t="s">
        <v>234</v>
      </c>
      <c r="J43" s="24"/>
    </row>
    <row r="44" spans="2:10" ht="15.75" customHeight="1">
      <c r="B44" s="15" t="s">
        <v>247</v>
      </c>
      <c r="E44" s="52" t="s">
        <v>232</v>
      </c>
      <c r="F44" s="54"/>
      <c r="G44" s="37" t="s">
        <v>233</v>
      </c>
      <c r="H44" s="37" t="s">
        <v>235</v>
      </c>
      <c r="J44" s="24"/>
    </row>
    <row r="45" spans="2:10" ht="15.75" customHeight="1">
      <c r="B45" s="1" t="s">
        <v>248</v>
      </c>
      <c r="G45" s="60"/>
      <c r="H45" s="60"/>
      <c r="J45" s="24"/>
    </row>
    <row r="46" spans="2:10" ht="15.75" customHeight="1">
      <c r="B46" s="2" t="s">
        <v>124</v>
      </c>
      <c r="C46" s="56">
        <v>240</v>
      </c>
      <c r="E46" s="3" t="s">
        <v>127</v>
      </c>
      <c r="G46" s="115">
        <v>0.75</v>
      </c>
      <c r="H46" s="136">
        <f>H41</f>
        <v>195</v>
      </c>
      <c r="J46" s="24"/>
    </row>
    <row r="47" spans="3:10" ht="15.75" customHeight="1">
      <c r="C47" s="56">
        <v>240</v>
      </c>
      <c r="E47" s="3" t="s">
        <v>424</v>
      </c>
      <c r="G47" s="115">
        <v>5.1</v>
      </c>
      <c r="H47" s="136">
        <f>H30</f>
        <v>85</v>
      </c>
      <c r="J47" s="24"/>
    </row>
    <row r="48" spans="2:10" ht="15.75" customHeight="1">
      <c r="B48" s="3"/>
      <c r="G48" s="60"/>
      <c r="H48" s="257"/>
      <c r="J48" s="24"/>
    </row>
    <row r="49" spans="7:10" ht="15.75" customHeight="1">
      <c r="G49" s="36" t="s">
        <v>131</v>
      </c>
      <c r="H49" s="258" t="s">
        <v>234</v>
      </c>
      <c r="I49" s="36"/>
      <c r="J49" s="24"/>
    </row>
    <row r="50" spans="2:10" ht="15.75" customHeight="1">
      <c r="B50" s="15" t="s">
        <v>128</v>
      </c>
      <c r="G50" s="37" t="s">
        <v>233</v>
      </c>
      <c r="H50" s="259" t="s">
        <v>235</v>
      </c>
      <c r="I50" s="37"/>
      <c r="J50" s="24"/>
    </row>
    <row r="51" spans="2:10" ht="15.75" customHeight="1">
      <c r="B51" s="49" t="s">
        <v>278</v>
      </c>
      <c r="G51" s="61"/>
      <c r="H51" s="259"/>
      <c r="I51" s="37"/>
      <c r="J51" s="24"/>
    </row>
    <row r="52" spans="2:9" ht="15.75" customHeight="1">
      <c r="B52" s="48" t="s">
        <v>124</v>
      </c>
      <c r="C52" s="56">
        <v>50</v>
      </c>
      <c r="E52" s="2" t="s">
        <v>129</v>
      </c>
      <c r="G52" s="56">
        <v>0.5</v>
      </c>
      <c r="H52" s="136">
        <v>290</v>
      </c>
      <c r="I52" s="37"/>
    </row>
    <row r="53" spans="2:10" ht="15.75" customHeight="1">
      <c r="B53" s="3"/>
      <c r="C53" s="56">
        <v>50</v>
      </c>
      <c r="E53" s="48" t="s">
        <v>341</v>
      </c>
      <c r="G53" s="56">
        <v>0.5</v>
      </c>
      <c r="H53" s="136">
        <f>H40</f>
        <v>130</v>
      </c>
      <c r="J53" s="24"/>
    </row>
    <row r="54" spans="2:10" ht="15.75" customHeight="1">
      <c r="B54" s="49" t="s">
        <v>279</v>
      </c>
      <c r="G54" s="61"/>
      <c r="H54" s="259"/>
      <c r="J54" s="24"/>
    </row>
    <row r="55" spans="2:10" ht="15.75" customHeight="1">
      <c r="B55" s="48" t="s">
        <v>124</v>
      </c>
      <c r="C55" s="56">
        <v>30</v>
      </c>
      <c r="E55" s="2" t="s">
        <v>342</v>
      </c>
      <c r="G55" s="56">
        <v>1</v>
      </c>
      <c r="H55" s="136">
        <v>240</v>
      </c>
      <c r="J55" s="194"/>
    </row>
    <row r="56" spans="2:10" ht="15.75" customHeight="1">
      <c r="B56" s="3"/>
      <c r="C56" s="56">
        <v>30</v>
      </c>
      <c r="E56" s="48" t="s">
        <v>341</v>
      </c>
      <c r="G56" s="56">
        <v>1</v>
      </c>
      <c r="H56" s="136">
        <f>H53</f>
        <v>130</v>
      </c>
      <c r="J56" s="24"/>
    </row>
    <row r="57" spans="2:10" ht="15.75" customHeight="1">
      <c r="B57" s="49" t="s">
        <v>280</v>
      </c>
      <c r="G57" s="61"/>
      <c r="H57" s="259"/>
      <c r="J57" s="24"/>
    </row>
    <row r="58" spans="2:8" ht="15.75" customHeight="1">
      <c r="B58" s="48" t="s">
        <v>124</v>
      </c>
      <c r="C58" s="56">
        <v>100</v>
      </c>
      <c r="E58" s="2" t="s">
        <v>281</v>
      </c>
      <c r="G58" s="56">
        <v>2.5</v>
      </c>
      <c r="H58" s="136">
        <v>200</v>
      </c>
    </row>
    <row r="59" spans="2:10" ht="15.75" customHeight="1">
      <c r="B59" s="3"/>
      <c r="C59" s="56">
        <v>100</v>
      </c>
      <c r="E59" s="48" t="s">
        <v>341</v>
      </c>
      <c r="G59" s="56">
        <v>1.5</v>
      </c>
      <c r="H59" s="136">
        <f>H56</f>
        <v>130</v>
      </c>
      <c r="J59" s="24"/>
    </row>
    <row r="60" spans="2:8" ht="15.75" customHeight="1">
      <c r="B60" s="3"/>
      <c r="G60" s="60"/>
      <c r="H60" s="60"/>
    </row>
    <row r="61" spans="7:9" ht="15.75" customHeight="1">
      <c r="G61" s="62" t="s">
        <v>131</v>
      </c>
      <c r="H61" s="62" t="s">
        <v>125</v>
      </c>
      <c r="I61" s="36"/>
    </row>
    <row r="62" spans="2:9" ht="15.75" customHeight="1">
      <c r="B62" s="15" t="s">
        <v>427</v>
      </c>
      <c r="G62" s="63" t="s">
        <v>283</v>
      </c>
      <c r="H62" s="63" t="s">
        <v>254</v>
      </c>
      <c r="I62" s="37"/>
    </row>
    <row r="63" spans="2:10" ht="15.75" customHeight="1">
      <c r="B63" s="3" t="s">
        <v>366</v>
      </c>
      <c r="G63" s="56">
        <v>22</v>
      </c>
      <c r="H63" s="57">
        <v>0.85</v>
      </c>
      <c r="J63" s="195"/>
    </row>
    <row r="64" spans="2:10" ht="15.75" customHeight="1">
      <c r="B64" s="3" t="s">
        <v>367</v>
      </c>
      <c r="G64" s="56">
        <v>22</v>
      </c>
      <c r="H64" s="57">
        <v>0.85</v>
      </c>
      <c r="J64" s="24"/>
    </row>
    <row r="65" spans="2:10" ht="15.75" customHeight="1">
      <c r="B65" s="3" t="s">
        <v>282</v>
      </c>
      <c r="G65" s="56">
        <v>6</v>
      </c>
      <c r="H65" s="57">
        <v>0.55</v>
      </c>
      <c r="J65" s="24"/>
    </row>
    <row r="66" spans="7:8" ht="15.75" customHeight="1">
      <c r="G66" s="60"/>
      <c r="H66" s="60"/>
    </row>
    <row r="67" spans="2:10" ht="18">
      <c r="B67" s="381" t="s">
        <v>214</v>
      </c>
      <c r="C67" s="382"/>
      <c r="D67" s="382"/>
      <c r="E67" s="382"/>
      <c r="F67" s="382"/>
      <c r="G67" s="382"/>
      <c r="H67" s="382"/>
      <c r="I67" s="382"/>
      <c r="J67" s="382"/>
    </row>
    <row r="68" spans="2:4" ht="15.75" customHeight="1">
      <c r="B68" s="20" t="s">
        <v>137</v>
      </c>
      <c r="D68" s="3"/>
    </row>
    <row r="69" spans="2:8" ht="15.75" customHeight="1">
      <c r="B69" s="2" t="s">
        <v>208</v>
      </c>
      <c r="H69" s="64">
        <v>0.2</v>
      </c>
    </row>
    <row r="70" spans="2:8" ht="15.75" customHeight="1">
      <c r="B70" s="2" t="s">
        <v>314</v>
      </c>
      <c r="H70" s="64">
        <v>0.1</v>
      </c>
    </row>
    <row r="71" spans="2:8" ht="15.75" customHeight="1">
      <c r="B71" s="2" t="s">
        <v>209</v>
      </c>
      <c r="D71" s="3"/>
      <c r="H71" s="56">
        <v>0.25</v>
      </c>
    </row>
    <row r="72" spans="2:8" ht="15.75" customHeight="1">
      <c r="B72" s="2" t="s">
        <v>215</v>
      </c>
      <c r="D72" s="3"/>
      <c r="H72" s="135">
        <v>40</v>
      </c>
    </row>
    <row r="73" ht="15.75" customHeight="1">
      <c r="H73" s="60"/>
    </row>
    <row r="74" spans="2:8" ht="15.75" customHeight="1">
      <c r="B74" s="20" t="s">
        <v>140</v>
      </c>
      <c r="H74" s="60"/>
    </row>
    <row r="75" spans="2:8" ht="15.75" customHeight="1">
      <c r="B75" s="2" t="s">
        <v>154</v>
      </c>
      <c r="H75" s="60"/>
    </row>
    <row r="76" spans="1:8" ht="15.75" customHeight="1">
      <c r="A76" s="41"/>
      <c r="B76" s="2" t="s">
        <v>156</v>
      </c>
      <c r="G76" s="40"/>
      <c r="H76" s="60"/>
    </row>
    <row r="77" spans="3:8" ht="15.75" customHeight="1">
      <c r="C77" s="2" t="s">
        <v>490</v>
      </c>
      <c r="G77" s="40"/>
      <c r="H77" s="136">
        <v>0.58</v>
      </c>
    </row>
    <row r="78" spans="3:8" ht="15.75" customHeight="1">
      <c r="C78" s="2" t="s">
        <v>286</v>
      </c>
      <c r="G78" s="40"/>
      <c r="H78" s="102">
        <v>0.53</v>
      </c>
    </row>
    <row r="79" spans="3:8" ht="15.75" customHeight="1">
      <c r="C79" s="2" t="s">
        <v>343</v>
      </c>
      <c r="G79" s="40"/>
      <c r="H79" s="57">
        <v>0.3</v>
      </c>
    </row>
    <row r="80" spans="3:8" ht="15.75" customHeight="1">
      <c r="C80" s="2" t="s">
        <v>284</v>
      </c>
      <c r="G80" s="40"/>
      <c r="H80" s="57">
        <v>4.5</v>
      </c>
    </row>
    <row r="81" spans="3:8" ht="15.75" customHeight="1">
      <c r="C81" s="2" t="s">
        <v>138</v>
      </c>
      <c r="H81" s="57">
        <v>0.5</v>
      </c>
    </row>
    <row r="82" spans="2:8" ht="15.75" customHeight="1">
      <c r="B82" s="2" t="s">
        <v>287</v>
      </c>
      <c r="H82" s="56"/>
    </row>
    <row r="83" spans="3:8" ht="15.75" customHeight="1">
      <c r="C83" s="2" t="s">
        <v>491</v>
      </c>
      <c r="H83" s="57">
        <v>0.29</v>
      </c>
    </row>
    <row r="84" spans="3:12" ht="15.75" customHeight="1">
      <c r="C84" s="2" t="s">
        <v>492</v>
      </c>
      <c r="H84" s="57">
        <v>0.26</v>
      </c>
      <c r="J84" s="121"/>
      <c r="K84" s="121"/>
      <c r="L84" s="121"/>
    </row>
    <row r="85" spans="3:12" ht="15.75" customHeight="1">
      <c r="C85" s="2" t="s">
        <v>429</v>
      </c>
      <c r="H85" s="102">
        <v>1.06</v>
      </c>
      <c r="J85" s="121"/>
      <c r="K85" s="121"/>
      <c r="L85" s="121"/>
    </row>
    <row r="86" spans="3:12" ht="15.75" customHeight="1">
      <c r="C86" s="2" t="s">
        <v>221</v>
      </c>
      <c r="H86" s="57">
        <v>0.6</v>
      </c>
      <c r="J86" s="121"/>
      <c r="K86" s="121"/>
      <c r="L86" s="121"/>
    </row>
    <row r="87" spans="3:12" ht="15.75" customHeight="1">
      <c r="C87" s="2" t="s">
        <v>138</v>
      </c>
      <c r="H87" s="57">
        <v>0.5</v>
      </c>
      <c r="J87" s="121"/>
      <c r="K87" s="121"/>
      <c r="L87" s="121"/>
    </row>
    <row r="88" spans="2:12" ht="15.75" customHeight="1">
      <c r="B88" s="2" t="s">
        <v>126</v>
      </c>
      <c r="H88" s="56"/>
      <c r="J88" s="121"/>
      <c r="K88" s="121"/>
      <c r="L88" s="121"/>
    </row>
    <row r="89" spans="3:12" ht="15.75" customHeight="1">
      <c r="C89" s="2" t="s">
        <v>493</v>
      </c>
      <c r="H89" s="57">
        <v>0.29</v>
      </c>
      <c r="J89" s="121"/>
      <c r="K89" s="121"/>
      <c r="L89" s="121"/>
    </row>
    <row r="90" spans="3:12" ht="15.75" customHeight="1">
      <c r="C90" s="2" t="s">
        <v>492</v>
      </c>
      <c r="H90" s="57">
        <v>0.26</v>
      </c>
      <c r="J90" s="121"/>
      <c r="K90" s="121"/>
      <c r="L90" s="121"/>
    </row>
    <row r="91" spans="3:8" ht="15.75" customHeight="1">
      <c r="C91" s="2" t="s">
        <v>285</v>
      </c>
      <c r="H91" s="57">
        <v>1.06</v>
      </c>
    </row>
    <row r="92" spans="3:8" ht="15.75" customHeight="1">
      <c r="C92" s="2" t="s">
        <v>221</v>
      </c>
      <c r="H92" s="57">
        <v>0.6</v>
      </c>
    </row>
    <row r="93" spans="3:8" ht="15.75" customHeight="1">
      <c r="C93" s="2" t="s">
        <v>138</v>
      </c>
      <c r="H93" s="57">
        <v>0.5</v>
      </c>
    </row>
    <row r="94" ht="15.75" customHeight="1">
      <c r="H94" s="60"/>
    </row>
    <row r="95" spans="2:8" ht="15.75" customHeight="1">
      <c r="B95" s="2" t="s">
        <v>155</v>
      </c>
      <c r="H95" s="60"/>
    </row>
    <row r="96" spans="3:10" ht="15.75" customHeight="1">
      <c r="C96" s="41" t="s">
        <v>157</v>
      </c>
      <c r="D96" s="41"/>
      <c r="H96" s="117">
        <v>2</v>
      </c>
      <c r="J96" s="121"/>
    </row>
    <row r="97" spans="3:10" ht="15.75" customHeight="1">
      <c r="C97" s="2" t="s">
        <v>158</v>
      </c>
      <c r="H97" s="116">
        <v>141</v>
      </c>
      <c r="J97" s="121"/>
    </row>
    <row r="98" spans="3:10" ht="15.75" customHeight="1">
      <c r="C98" s="2" t="s">
        <v>159</v>
      </c>
      <c r="H98" s="117">
        <v>80</v>
      </c>
      <c r="J98" s="121"/>
    </row>
    <row r="99" spans="3:10" ht="15.75" customHeight="1">
      <c r="C99" s="2" t="s">
        <v>160</v>
      </c>
      <c r="H99" s="116">
        <v>0.85</v>
      </c>
      <c r="J99" s="121"/>
    </row>
    <row r="100" spans="3:10" ht="15.75" customHeight="1">
      <c r="C100" s="2" t="s">
        <v>161</v>
      </c>
      <c r="H100" s="117">
        <v>1</v>
      </c>
      <c r="J100" s="121"/>
    </row>
    <row r="101" ht="15.75" customHeight="1">
      <c r="H101" s="60"/>
    </row>
    <row r="102" spans="2:15" ht="15.75" customHeight="1">
      <c r="B102" s="20" t="s">
        <v>141</v>
      </c>
      <c r="H102" s="60"/>
      <c r="M102" s="343"/>
      <c r="N102" s="343"/>
      <c r="O102" s="343"/>
    </row>
    <row r="103" spans="2:15" s="121" customFormat="1" ht="15.75" customHeight="1">
      <c r="B103" s="350"/>
      <c r="C103" s="121" t="s">
        <v>473</v>
      </c>
      <c r="H103" s="354">
        <v>1.1</v>
      </c>
      <c r="I103" s="325" t="s">
        <v>446</v>
      </c>
      <c r="M103" s="351"/>
      <c r="N103" s="351"/>
      <c r="O103" s="351"/>
    </row>
    <row r="104" spans="2:15" s="121" customFormat="1" ht="15.75" customHeight="1">
      <c r="B104" s="121" t="s">
        <v>474</v>
      </c>
      <c r="H104" s="257"/>
      <c r="M104" s="351"/>
      <c r="N104" s="351"/>
      <c r="O104" s="351"/>
    </row>
    <row r="105" spans="2:15" s="121" customFormat="1" ht="15.75" customHeight="1">
      <c r="B105" s="350"/>
      <c r="C105" s="121" t="s">
        <v>475</v>
      </c>
      <c r="H105" s="117">
        <v>120</v>
      </c>
      <c r="M105" s="351"/>
      <c r="N105" s="351"/>
      <c r="O105" s="351"/>
    </row>
    <row r="106" spans="2:15" s="121" customFormat="1" ht="15.75" customHeight="1">
      <c r="B106" s="350"/>
      <c r="C106" s="324" t="s">
        <v>476</v>
      </c>
      <c r="E106" s="345"/>
      <c r="F106" s="345"/>
      <c r="H106" s="352">
        <v>1</v>
      </c>
      <c r="I106" s="325" t="s">
        <v>477</v>
      </c>
      <c r="M106" s="351"/>
      <c r="N106" s="351"/>
      <c r="O106" s="351"/>
    </row>
    <row r="107" spans="2:15" s="344" customFormat="1" ht="15.75">
      <c r="B107" s="324" t="s">
        <v>478</v>
      </c>
      <c r="C107" s="345"/>
      <c r="D107" s="345"/>
      <c r="H107" s="352">
        <v>1.5</v>
      </c>
      <c r="I107" s="325" t="s">
        <v>450</v>
      </c>
      <c r="M107" s="347"/>
      <c r="N107" s="347"/>
      <c r="O107" s="347"/>
    </row>
    <row r="108" spans="2:15" s="344" customFormat="1" ht="15.75">
      <c r="B108" s="324" t="s">
        <v>479</v>
      </c>
      <c r="C108" s="345"/>
      <c r="D108" s="345"/>
      <c r="H108" s="352">
        <v>1</v>
      </c>
      <c r="I108" s="325" t="s">
        <v>450</v>
      </c>
      <c r="M108" s="347"/>
      <c r="N108" s="347"/>
      <c r="O108" s="347"/>
    </row>
    <row r="109" ht="15.75" customHeight="1">
      <c r="H109" s="60"/>
    </row>
    <row r="110" spans="2:8" ht="15.75" customHeight="1">
      <c r="B110" s="20" t="s">
        <v>142</v>
      </c>
      <c r="H110" s="60"/>
    </row>
    <row r="111" spans="2:9" s="121" customFormat="1" ht="15.75" customHeight="1">
      <c r="B111" s="121" t="s">
        <v>132</v>
      </c>
      <c r="E111" s="117">
        <v>15</v>
      </c>
      <c r="F111" s="121" t="s">
        <v>445</v>
      </c>
      <c r="H111" s="355">
        <v>0.08196</v>
      </c>
      <c r="I111" s="121" t="s">
        <v>444</v>
      </c>
    </row>
    <row r="112" spans="2:8" s="121" customFormat="1" ht="15.75" customHeight="1">
      <c r="B112" s="121" t="s">
        <v>133</v>
      </c>
      <c r="H112" s="213">
        <v>0</v>
      </c>
    </row>
    <row r="113" spans="2:8" s="121" customFormat="1" ht="15.75" customHeight="1">
      <c r="B113" s="121" t="s">
        <v>134</v>
      </c>
      <c r="H113" s="213">
        <v>600</v>
      </c>
    </row>
    <row r="114" ht="15.75" customHeight="1">
      <c r="H114" s="60"/>
    </row>
    <row r="115" spans="2:8" ht="15.75" customHeight="1">
      <c r="B115" s="20" t="s">
        <v>143</v>
      </c>
      <c r="H115" s="60"/>
    </row>
    <row r="116" spans="2:8" ht="15.75" customHeight="1">
      <c r="B116" s="2" t="s">
        <v>288</v>
      </c>
      <c r="E116" s="73"/>
      <c r="F116" s="2" t="s">
        <v>289</v>
      </c>
      <c r="H116" s="65">
        <v>6.25</v>
      </c>
    </row>
    <row r="117" spans="2:5" ht="15.75" customHeight="1">
      <c r="B117" s="2" t="s">
        <v>292</v>
      </c>
      <c r="E117" s="73"/>
    </row>
    <row r="118" spans="3:8" ht="15.75" customHeight="1">
      <c r="C118" s="2" t="s">
        <v>290</v>
      </c>
      <c r="E118" s="244">
        <v>6</v>
      </c>
      <c r="H118" s="56"/>
    </row>
    <row r="119" spans="3:8" ht="15.75" customHeight="1">
      <c r="C119" s="2" t="s">
        <v>291</v>
      </c>
      <c r="E119" s="245">
        <v>0.5</v>
      </c>
      <c r="H119" s="60"/>
    </row>
    <row r="120" spans="3:5" ht="15.75" customHeight="1">
      <c r="C120" s="2" t="s">
        <v>293</v>
      </c>
      <c r="E120" s="246">
        <v>0</v>
      </c>
    </row>
    <row r="121" spans="6:8" ht="15.75" customHeight="1">
      <c r="F121" s="2" t="s">
        <v>289</v>
      </c>
      <c r="H121" s="103">
        <f>SUM(E118:E120)</f>
        <v>6.5</v>
      </c>
    </row>
    <row r="122" ht="15.75" customHeight="1">
      <c r="H122" s="60"/>
    </row>
    <row r="123" ht="15.75" customHeight="1">
      <c r="H123" s="60"/>
    </row>
    <row r="124" spans="2:8" ht="15.75" customHeight="1">
      <c r="B124" s="20" t="s">
        <v>148</v>
      </c>
      <c r="G124" s="35" t="s">
        <v>376</v>
      </c>
      <c r="H124" s="60"/>
    </row>
    <row r="125" spans="2:8" ht="15.75" customHeight="1">
      <c r="B125" s="2" t="s">
        <v>149</v>
      </c>
      <c r="H125" s="66">
        <v>0.15</v>
      </c>
    </row>
    <row r="126" spans="2:8" ht="15.75" customHeight="1">
      <c r="B126" s="2" t="s">
        <v>150</v>
      </c>
      <c r="G126" s="121"/>
      <c r="H126" s="135">
        <v>225</v>
      </c>
    </row>
    <row r="127" spans="2:8" ht="15.75" customHeight="1">
      <c r="B127" s="2" t="s">
        <v>346</v>
      </c>
      <c r="E127" s="115">
        <v>170</v>
      </c>
      <c r="F127" s="2" t="s">
        <v>294</v>
      </c>
      <c r="G127" s="260">
        <v>90</v>
      </c>
      <c r="H127" s="261">
        <f>E127/100*G127</f>
        <v>153</v>
      </c>
    </row>
    <row r="128" spans="2:8" ht="15.75" customHeight="1">
      <c r="B128" s="2" t="s">
        <v>151</v>
      </c>
      <c r="G128" s="121"/>
      <c r="H128" s="247">
        <v>0.25</v>
      </c>
    </row>
    <row r="129" spans="2:8" ht="15.75" customHeight="1">
      <c r="B129" s="2" t="s">
        <v>152</v>
      </c>
      <c r="G129" s="121"/>
      <c r="H129" s="116">
        <v>500</v>
      </c>
    </row>
    <row r="130" spans="2:8" ht="15.75" customHeight="1">
      <c r="B130" s="2" t="s">
        <v>153</v>
      </c>
      <c r="E130" s="115">
        <v>200</v>
      </c>
      <c r="F130" s="2" t="s">
        <v>294</v>
      </c>
      <c r="G130" s="260">
        <v>90</v>
      </c>
      <c r="H130" s="261">
        <f>E130/100*G130</f>
        <v>180</v>
      </c>
    </row>
    <row r="131" ht="15.75" customHeight="1">
      <c r="H131" s="60"/>
    </row>
    <row r="132" spans="2:8" ht="15.75" customHeight="1">
      <c r="B132" s="20" t="s">
        <v>218</v>
      </c>
      <c r="H132" s="60"/>
    </row>
    <row r="133" spans="2:9" ht="15.75" customHeight="1">
      <c r="B133" s="2" t="s">
        <v>295</v>
      </c>
      <c r="H133" s="57">
        <v>750</v>
      </c>
      <c r="I133" s="2" t="s">
        <v>483</v>
      </c>
    </row>
    <row r="134" spans="2:9" ht="15.75" customHeight="1">
      <c r="B134" s="2" t="s">
        <v>482</v>
      </c>
      <c r="H134" s="57">
        <v>350</v>
      </c>
      <c r="I134" s="2" t="s">
        <v>483</v>
      </c>
    </row>
    <row r="135" spans="2:8" ht="15.75" customHeight="1">
      <c r="B135" s="2" t="s">
        <v>219</v>
      </c>
      <c r="H135" s="56">
        <v>4</v>
      </c>
    </row>
    <row r="136" spans="2:8" ht="15.75" customHeight="1">
      <c r="B136" s="2" t="s">
        <v>220</v>
      </c>
      <c r="H136" s="57">
        <v>500</v>
      </c>
    </row>
    <row r="137" ht="15.75" customHeight="1">
      <c r="H137" s="60"/>
    </row>
    <row r="138" spans="2:8" ht="15.75" customHeight="1">
      <c r="B138" s="20" t="s">
        <v>144</v>
      </c>
      <c r="H138" s="60"/>
    </row>
    <row r="139" spans="3:15" s="344" customFormat="1" ht="18.75" customHeight="1">
      <c r="C139" s="324" t="s">
        <v>447</v>
      </c>
      <c r="D139" s="345"/>
      <c r="E139" s="345"/>
      <c r="F139" s="345"/>
      <c r="H139" s="346">
        <v>0.00171</v>
      </c>
      <c r="I139" s="325" t="s">
        <v>448</v>
      </c>
      <c r="M139" s="347"/>
      <c r="N139" s="347"/>
      <c r="O139" s="347"/>
    </row>
    <row r="140" spans="3:15" s="344" customFormat="1" ht="15.75" customHeight="1">
      <c r="C140" s="324" t="s">
        <v>447</v>
      </c>
      <c r="D140" s="345"/>
      <c r="E140" s="345"/>
      <c r="F140" s="345"/>
      <c r="H140" s="348">
        <f>SUM(H139/0.028317)</f>
        <v>0.06038775293993008</v>
      </c>
      <c r="I140" s="325" t="s">
        <v>449</v>
      </c>
      <c r="M140" s="347"/>
      <c r="N140" s="347"/>
      <c r="O140" s="347"/>
    </row>
    <row r="141" spans="3:15" s="344" customFormat="1" ht="15.75">
      <c r="C141" s="324" t="s">
        <v>484</v>
      </c>
      <c r="D141" s="345"/>
      <c r="E141" s="345"/>
      <c r="F141" s="345"/>
      <c r="H141" s="349">
        <v>80</v>
      </c>
      <c r="I141" s="344" t="s">
        <v>450</v>
      </c>
      <c r="M141" s="347"/>
      <c r="N141" s="347"/>
      <c r="O141" s="347"/>
    </row>
    <row r="142" spans="3:15" s="344" customFormat="1" ht="15.75">
      <c r="C142" s="324" t="s">
        <v>451</v>
      </c>
      <c r="D142" s="345"/>
      <c r="E142" s="345"/>
      <c r="F142" s="345"/>
      <c r="H142" s="256">
        <v>12</v>
      </c>
      <c r="I142" s="325" t="s">
        <v>452</v>
      </c>
      <c r="M142" s="347"/>
      <c r="N142" s="347"/>
      <c r="O142" s="347"/>
    </row>
    <row r="143" spans="2:8" ht="15.75" customHeight="1">
      <c r="B143" s="20" t="s">
        <v>146</v>
      </c>
      <c r="H143" s="60"/>
    </row>
    <row r="144" spans="2:8" ht="15.75" customHeight="1">
      <c r="B144" s="2" t="s">
        <v>162</v>
      </c>
      <c r="H144" s="60"/>
    </row>
    <row r="145" spans="2:8" ht="15.75" customHeight="1">
      <c r="B145" s="2" t="s">
        <v>135</v>
      </c>
      <c r="H145" s="116">
        <v>0.45</v>
      </c>
    </row>
    <row r="146" spans="2:8" ht="15.75" customHeight="1">
      <c r="B146" s="2" t="s">
        <v>136</v>
      </c>
      <c r="H146" s="116">
        <v>0.4</v>
      </c>
    </row>
    <row r="147" spans="2:8" ht="15.75" customHeight="1">
      <c r="B147" s="2" t="s">
        <v>163</v>
      </c>
      <c r="H147" s="65">
        <v>49</v>
      </c>
    </row>
    <row r="148" ht="15.75" customHeight="1">
      <c r="H148" s="60"/>
    </row>
    <row r="149" ht="15.75" customHeight="1">
      <c r="H149" s="60"/>
    </row>
    <row r="150" spans="2:8" ht="15.75" customHeight="1">
      <c r="B150" s="20" t="s">
        <v>217</v>
      </c>
      <c r="H150" s="60"/>
    </row>
    <row r="151" spans="2:8" ht="15.75" customHeight="1">
      <c r="B151" s="2" t="s">
        <v>223</v>
      </c>
      <c r="H151" s="136">
        <v>5</v>
      </c>
    </row>
    <row r="152" spans="2:8" ht="15.75" customHeight="1">
      <c r="B152" s="2" t="s">
        <v>224</v>
      </c>
      <c r="H152" s="136">
        <v>10</v>
      </c>
    </row>
    <row r="153" ht="15.75" customHeight="1">
      <c r="H153" s="60"/>
    </row>
    <row r="154" spans="2:8" ht="15.75" customHeight="1">
      <c r="B154" s="20" t="s">
        <v>147</v>
      </c>
      <c r="H154" s="60"/>
    </row>
    <row r="155" spans="2:8" ht="15.75" customHeight="1">
      <c r="B155" s="2" t="s">
        <v>225</v>
      </c>
      <c r="H155" s="135">
        <v>500</v>
      </c>
    </row>
    <row r="156" ht="15.75" customHeight="1">
      <c r="H156" s="60"/>
    </row>
    <row r="157" spans="2:8" ht="15.75" customHeight="1">
      <c r="B157" s="20" t="s">
        <v>145</v>
      </c>
      <c r="H157" s="60"/>
    </row>
    <row r="158" spans="2:8" ht="15.75" customHeight="1">
      <c r="B158" s="2" t="s">
        <v>164</v>
      </c>
      <c r="H158" s="356">
        <v>0.0275</v>
      </c>
    </row>
    <row r="159" spans="2:8" ht="15.75" customHeight="1">
      <c r="B159" s="2" t="s">
        <v>165</v>
      </c>
      <c r="H159" s="356">
        <v>0.0575</v>
      </c>
    </row>
    <row r="160" ht="15.75" customHeight="1">
      <c r="H160" s="60"/>
    </row>
    <row r="161" spans="2:10" ht="18">
      <c r="B161" s="379" t="s">
        <v>21</v>
      </c>
      <c r="C161" s="380"/>
      <c r="D161" s="380"/>
      <c r="E161" s="380"/>
      <c r="F161" s="380"/>
      <c r="G161" s="380"/>
      <c r="H161" s="380"/>
      <c r="I161" s="380"/>
      <c r="J161" s="380"/>
    </row>
    <row r="162" spans="2:10" ht="15.75" customHeight="1">
      <c r="B162" s="1"/>
      <c r="I162" s="39" t="s">
        <v>170</v>
      </c>
      <c r="J162" s="20" t="s">
        <v>172</v>
      </c>
    </row>
    <row r="163" spans="2:10" ht="15.75" customHeight="1">
      <c r="B163" s="74" t="s">
        <v>20</v>
      </c>
      <c r="H163" s="35" t="s">
        <v>121</v>
      </c>
      <c r="I163" s="35" t="s">
        <v>171</v>
      </c>
      <c r="J163" s="19" t="s">
        <v>121</v>
      </c>
    </row>
    <row r="164" ht="15.75" customHeight="1">
      <c r="C164" s="3" t="s">
        <v>22</v>
      </c>
    </row>
    <row r="165" spans="3:10" ht="15.75" customHeight="1">
      <c r="C165" s="3" t="s">
        <v>23</v>
      </c>
      <c r="H165" s="134">
        <v>150000</v>
      </c>
      <c r="I165" s="56">
        <v>30</v>
      </c>
      <c r="J165" s="66">
        <v>0.1</v>
      </c>
    </row>
    <row r="166" spans="3:10" ht="15.75" customHeight="1">
      <c r="C166" s="3" t="s">
        <v>24</v>
      </c>
      <c r="H166" s="134">
        <v>5700</v>
      </c>
      <c r="I166" s="56">
        <v>30</v>
      </c>
      <c r="J166" s="66">
        <v>0</v>
      </c>
    </row>
    <row r="167" spans="3:10" ht="15.75" customHeight="1">
      <c r="C167" s="3" t="s">
        <v>25</v>
      </c>
      <c r="H167" s="214">
        <v>8000</v>
      </c>
      <c r="I167" s="56">
        <v>30</v>
      </c>
      <c r="J167" s="66">
        <v>0</v>
      </c>
    </row>
    <row r="168" spans="2:10" ht="15.75" customHeight="1">
      <c r="B168" s="1" t="s">
        <v>26</v>
      </c>
      <c r="H168" s="17">
        <f>SUM(H165:H167)</f>
        <v>163700</v>
      </c>
      <c r="I168" s="71"/>
      <c r="J168" s="72"/>
    </row>
    <row r="169" spans="2:10" ht="15.75" customHeight="1">
      <c r="B169" s="1" t="s">
        <v>27</v>
      </c>
      <c r="J169" s="42"/>
    </row>
    <row r="170" spans="3:10" ht="15.75" customHeight="1">
      <c r="C170" s="3" t="s">
        <v>401</v>
      </c>
      <c r="H170" s="55">
        <v>3000</v>
      </c>
      <c r="I170" s="56">
        <v>10</v>
      </c>
      <c r="J170" s="66">
        <v>0.1</v>
      </c>
    </row>
    <row r="171" spans="3:10" ht="15.75" customHeight="1">
      <c r="C171" s="3" t="s">
        <v>29</v>
      </c>
      <c r="H171" s="55">
        <v>5000</v>
      </c>
      <c r="I171" s="56">
        <v>10</v>
      </c>
      <c r="J171" s="66">
        <v>0.2</v>
      </c>
    </row>
    <row r="172" spans="3:10" ht="15.75" customHeight="1">
      <c r="C172" s="3" t="s">
        <v>179</v>
      </c>
      <c r="H172" s="215">
        <v>36000</v>
      </c>
      <c r="I172" s="56">
        <v>10</v>
      </c>
      <c r="J172" s="66">
        <v>0.2</v>
      </c>
    </row>
    <row r="173" spans="3:10" ht="15.75" customHeight="1">
      <c r="C173" s="3" t="s">
        <v>180</v>
      </c>
      <c r="H173" s="216">
        <v>15000</v>
      </c>
      <c r="I173" s="56">
        <v>10</v>
      </c>
      <c r="J173" s="66">
        <v>0.1</v>
      </c>
    </row>
    <row r="174" spans="2:8" ht="15.75" customHeight="1">
      <c r="B174" s="1" t="s">
        <v>173</v>
      </c>
      <c r="C174" s="3"/>
      <c r="H174" s="17">
        <f>SUM(H170:H173)</f>
        <v>59000</v>
      </c>
    </row>
    <row r="175" spans="2:8" ht="15.75" customHeight="1">
      <c r="B175" s="1" t="s">
        <v>30</v>
      </c>
      <c r="H175" s="17">
        <f>H168+H174</f>
        <v>222700</v>
      </c>
    </row>
    <row r="176" ht="15.75" customHeight="1">
      <c r="B176" s="1" t="s">
        <v>31</v>
      </c>
    </row>
    <row r="177" spans="3:8" ht="15.75" customHeight="1">
      <c r="C177" s="3" t="s">
        <v>181</v>
      </c>
      <c r="H177" s="17">
        <f>H10*H126</f>
        <v>112500</v>
      </c>
    </row>
    <row r="178" spans="3:8" ht="15.75" customHeight="1">
      <c r="C178" s="3" t="s">
        <v>182</v>
      </c>
      <c r="H178" s="17">
        <f>H11*H129</f>
        <v>6500</v>
      </c>
    </row>
    <row r="179" spans="2:8" ht="15.75" customHeight="1">
      <c r="B179" s="1" t="s">
        <v>32</v>
      </c>
      <c r="H179" s="17">
        <f>SUM(H177:H178)</f>
        <v>119000</v>
      </c>
    </row>
    <row r="180" ht="15.75" customHeight="1">
      <c r="B180" s="20" t="s">
        <v>169</v>
      </c>
    </row>
    <row r="181" spans="2:8" ht="15.75" customHeight="1">
      <c r="B181" s="2" t="s">
        <v>166</v>
      </c>
      <c r="H181" s="120">
        <v>80</v>
      </c>
    </row>
    <row r="182" spans="2:13" ht="15.75" customHeight="1">
      <c r="B182" s="2" t="s">
        <v>344</v>
      </c>
      <c r="H182" s="358">
        <v>750</v>
      </c>
      <c r="M182" s="121"/>
    </row>
    <row r="183" spans="2:10" ht="15.75" customHeight="1">
      <c r="B183" s="2" t="s">
        <v>176</v>
      </c>
      <c r="H183" s="43">
        <f>H181*H182</f>
        <v>60000</v>
      </c>
      <c r="I183" s="39" t="s">
        <v>170</v>
      </c>
      <c r="J183" s="20" t="s">
        <v>172</v>
      </c>
    </row>
    <row r="184" spans="2:10" ht="15.75" customHeight="1">
      <c r="B184" s="2" t="s">
        <v>196</v>
      </c>
      <c r="H184" s="357">
        <v>4</v>
      </c>
      <c r="I184" s="118" t="s">
        <v>171</v>
      </c>
      <c r="J184" s="119" t="s">
        <v>121</v>
      </c>
    </row>
    <row r="185" spans="2:12" ht="15.75" customHeight="1">
      <c r="B185" s="2" t="s">
        <v>231</v>
      </c>
      <c r="H185" s="120">
        <v>2</v>
      </c>
      <c r="I185" s="120">
        <v>20</v>
      </c>
      <c r="J185" s="247">
        <v>0</v>
      </c>
      <c r="L185" s="121"/>
    </row>
    <row r="186" spans="2:10" ht="15.75" customHeight="1">
      <c r="B186" s="2" t="s">
        <v>168</v>
      </c>
      <c r="H186" s="353">
        <v>5280</v>
      </c>
      <c r="I186" s="121"/>
      <c r="J186" s="121"/>
    </row>
    <row r="187" spans="2:8" ht="15.75" customHeight="1">
      <c r="B187" s="2" t="s">
        <v>177</v>
      </c>
      <c r="H187" s="70">
        <f>H185*H186</f>
        <v>10560</v>
      </c>
    </row>
    <row r="188" spans="2:8" ht="15.75" customHeight="1">
      <c r="B188" s="20" t="s">
        <v>178</v>
      </c>
      <c r="H188" s="43">
        <f>H183+H187</f>
        <v>70560</v>
      </c>
    </row>
    <row r="190" spans="2:8" ht="15.75" customHeight="1">
      <c r="B190" s="1" t="s">
        <v>33</v>
      </c>
      <c r="H190" s="17">
        <f>H175+H179+H188</f>
        <v>412260</v>
      </c>
    </row>
    <row r="193" spans="2:8" ht="15.75" customHeight="1">
      <c r="B193" s="20" t="s">
        <v>345</v>
      </c>
      <c r="C193" s="2" t="s">
        <v>205</v>
      </c>
      <c r="H193" s="56">
        <v>2.25</v>
      </c>
    </row>
    <row r="194" spans="3:8" ht="15.75" customHeight="1">
      <c r="C194" s="2" t="s">
        <v>206</v>
      </c>
      <c r="H194" s="102">
        <v>22</v>
      </c>
    </row>
  </sheetData>
  <sheetProtection password="C6A6" sheet="1"/>
  <mergeCells count="4">
    <mergeCell ref="B26:J26"/>
    <mergeCell ref="B161:J161"/>
    <mergeCell ref="B67:J67"/>
    <mergeCell ref="B2:J2"/>
  </mergeCells>
  <printOptions/>
  <pageMargins left="0.7480314960629921" right="0.7480314960629921" top="0.984251968503937" bottom="0.984251968503937" header="0.5118110236220472" footer="0.5118110236220472"/>
  <pageSetup firstPageNumber="4" useFirstPageNumber="1" fitToHeight="4" horizontalDpi="600" verticalDpi="600" orientation="portrait" scale="79" r:id="rId3"/>
  <headerFooter alignWithMargins="0">
    <oddHeader>&amp;L&amp;"Arial,Regular"Guidelines: Lamb Production Costs&amp;R&amp;P</oddHeader>
    <oddFooter>&amp;R&amp;"Arial,Regular"Manitoba Agriculture, Farm Management</oddFooter>
  </headerFooter>
  <rowBreaks count="3" manualBreakCount="3">
    <brk id="48" max="255" man="1"/>
    <brk id="94" max="255" man="1"/>
    <brk id="147" max="255" man="1"/>
  </rowBreaks>
  <ignoredErrors>
    <ignoredError sqref="H21 H34 H121" unlockedFormula="1"/>
  </ignoredErrors>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2:Q690"/>
  <sheetViews>
    <sheetView zoomScalePageLayoutView="0" workbookViewId="0" topLeftCell="A1">
      <selection activeCell="B2" sqref="B2:J2"/>
    </sheetView>
  </sheetViews>
  <sheetFormatPr defaultColWidth="9.140625" defaultRowHeight="12.75"/>
  <cols>
    <col min="1" max="1" width="6.28125" style="104" customWidth="1"/>
    <col min="2" max="3" width="10.7109375" style="104" customWidth="1"/>
    <col min="4" max="4" width="4.57421875" style="104" customWidth="1"/>
    <col min="5" max="5" width="14.28125" style="269" customWidth="1"/>
    <col min="6" max="6" width="2.8515625" style="104" customWidth="1"/>
    <col min="7" max="7" width="9.57421875" style="104" bestFit="1" customWidth="1"/>
    <col min="8" max="8" width="9.140625" style="104" customWidth="1"/>
    <col min="9" max="9" width="12.28125" style="104" customWidth="1"/>
    <col min="10" max="10" width="12.7109375" style="104" customWidth="1"/>
    <col min="11" max="11" width="12.57421875" style="104" customWidth="1"/>
    <col min="12" max="16384" width="9.140625" style="104" customWidth="1"/>
  </cols>
  <sheetData>
    <row r="2" spans="1:11" ht="18">
      <c r="A2" s="2"/>
      <c r="B2" s="372" t="s">
        <v>365</v>
      </c>
      <c r="C2" s="383"/>
      <c r="D2" s="383"/>
      <c r="E2" s="383"/>
      <c r="F2" s="383"/>
      <c r="G2" s="383"/>
      <c r="H2" s="383"/>
      <c r="I2" s="383"/>
      <c r="J2" s="383"/>
      <c r="K2" s="106"/>
    </row>
    <row r="3" spans="1:11" ht="15.75">
      <c r="A3" s="2"/>
      <c r="B3" s="1"/>
      <c r="C3" s="2"/>
      <c r="D3" s="2"/>
      <c r="E3" s="121"/>
      <c r="F3" s="2"/>
      <c r="G3" s="2"/>
      <c r="H3" s="2"/>
      <c r="I3" s="2"/>
      <c r="J3" s="2"/>
      <c r="K3" s="106"/>
    </row>
    <row r="4" spans="1:11" ht="15">
      <c r="A4" s="2"/>
      <c r="B4" s="3" t="s">
        <v>210</v>
      </c>
      <c r="C4" s="2"/>
      <c r="D4" s="2"/>
      <c r="E4" s="121"/>
      <c r="F4" s="2"/>
      <c r="G4" s="2"/>
      <c r="H4" s="2"/>
      <c r="I4" s="2"/>
      <c r="J4" s="2"/>
      <c r="K4" s="106"/>
    </row>
    <row r="5" spans="1:11" ht="15">
      <c r="A5" s="2"/>
      <c r="B5" s="3" t="s">
        <v>17</v>
      </c>
      <c r="C5" s="2"/>
      <c r="D5" s="2"/>
      <c r="E5" s="121"/>
      <c r="F5" s="2"/>
      <c r="G5" s="2"/>
      <c r="H5" s="2"/>
      <c r="I5" s="2"/>
      <c r="J5" s="2"/>
      <c r="K5" s="106"/>
    </row>
    <row r="6" spans="1:11" ht="15">
      <c r="A6" s="2"/>
      <c r="B6" s="3" t="s">
        <v>18</v>
      </c>
      <c r="C6" s="2"/>
      <c r="D6" s="2"/>
      <c r="E6" s="121"/>
      <c r="F6" s="2"/>
      <c r="G6" s="2"/>
      <c r="H6" s="2"/>
      <c r="I6" s="2"/>
      <c r="J6" s="2"/>
      <c r="K6" s="106"/>
    </row>
    <row r="7" spans="1:11" ht="15">
      <c r="A7" s="2"/>
      <c r="B7" s="3" t="s">
        <v>274</v>
      </c>
      <c r="C7" s="2"/>
      <c r="D7" s="2"/>
      <c r="E7" s="121"/>
      <c r="F7" s="2"/>
      <c r="G7" s="2"/>
      <c r="H7" s="2"/>
      <c r="I7" s="2"/>
      <c r="J7" s="2"/>
      <c r="K7" s="106"/>
    </row>
    <row r="8" spans="1:11" ht="15">
      <c r="A8" s="2"/>
      <c r="B8" s="3"/>
      <c r="C8" s="2"/>
      <c r="D8" s="2"/>
      <c r="E8" s="121"/>
      <c r="F8" s="2"/>
      <c r="G8" s="2"/>
      <c r="H8" s="2"/>
      <c r="I8" s="2"/>
      <c r="J8" s="2"/>
      <c r="K8" s="106"/>
    </row>
    <row r="9" spans="2:11" ht="18" customHeight="1">
      <c r="B9" s="372" t="s">
        <v>364</v>
      </c>
      <c r="C9" s="383"/>
      <c r="D9" s="383"/>
      <c r="E9" s="383"/>
      <c r="F9" s="383"/>
      <c r="G9" s="383"/>
      <c r="H9" s="383"/>
      <c r="I9" s="383"/>
      <c r="J9" s="383"/>
      <c r="K9" s="105"/>
    </row>
    <row r="10" spans="1:11" ht="15">
      <c r="A10" s="2"/>
      <c r="B10" s="2"/>
      <c r="C10" s="2"/>
      <c r="D10" s="2"/>
      <c r="E10" s="121"/>
      <c r="F10" s="2"/>
      <c r="G10" s="2"/>
      <c r="H10" s="2"/>
      <c r="I10" s="2"/>
      <c r="J10" s="2"/>
      <c r="K10" s="106"/>
    </row>
    <row r="11" spans="1:12" ht="15.75">
      <c r="A11" s="2"/>
      <c r="B11" s="393" t="s">
        <v>363</v>
      </c>
      <c r="C11" s="394"/>
      <c r="D11" s="394"/>
      <c r="E11" s="394"/>
      <c r="F11" s="394"/>
      <c r="G11" s="394"/>
      <c r="H11" s="394"/>
      <c r="I11" s="394"/>
      <c r="J11" s="394"/>
      <c r="K11" s="106"/>
      <c r="L11" s="106"/>
    </row>
    <row r="12" spans="1:11" ht="15">
      <c r="A12" s="2"/>
      <c r="B12" s="3" t="s">
        <v>65</v>
      </c>
      <c r="C12" s="2"/>
      <c r="D12" s="2"/>
      <c r="E12" s="121"/>
      <c r="F12" s="2"/>
      <c r="G12" s="2"/>
      <c r="I12" s="2"/>
      <c r="J12" s="2">
        <f>Input!H10</f>
        <v>500</v>
      </c>
      <c r="K12" s="106"/>
    </row>
    <row r="13" spans="1:11" ht="15">
      <c r="A13" s="2"/>
      <c r="B13" s="3" t="s">
        <v>66</v>
      </c>
      <c r="C13" s="2"/>
      <c r="D13" s="2"/>
      <c r="E13" s="121"/>
      <c r="F13" s="2"/>
      <c r="G13" s="2"/>
      <c r="I13" s="2"/>
      <c r="J13" s="2">
        <f>Input!H11</f>
        <v>13</v>
      </c>
      <c r="K13" s="106"/>
    </row>
    <row r="14" spans="1:11" ht="15">
      <c r="A14" s="2"/>
      <c r="B14" s="3" t="s">
        <v>67</v>
      </c>
      <c r="C14" s="2"/>
      <c r="D14" s="2"/>
      <c r="E14" s="121"/>
      <c r="F14" s="2"/>
      <c r="G14" s="2"/>
      <c r="I14" s="2"/>
      <c r="J14" s="2">
        <f>Input!H12</f>
        <v>200</v>
      </c>
      <c r="K14" s="106"/>
    </row>
    <row r="15" spans="1:11" ht="15">
      <c r="A15" s="2"/>
      <c r="B15" s="3" t="s">
        <v>68</v>
      </c>
      <c r="C15" s="2"/>
      <c r="D15" s="2"/>
      <c r="E15" s="121"/>
      <c r="F15" s="2"/>
      <c r="G15" s="2"/>
      <c r="I15" s="2"/>
      <c r="J15" s="2">
        <f>Input!H13</f>
        <v>3</v>
      </c>
      <c r="K15" s="106"/>
    </row>
    <row r="16" spans="1:11" ht="15">
      <c r="A16" s="2"/>
      <c r="B16" s="3" t="s">
        <v>69</v>
      </c>
      <c r="C16" s="2"/>
      <c r="D16" s="2"/>
      <c r="E16" s="121"/>
      <c r="F16" s="2"/>
      <c r="G16" s="2"/>
      <c r="I16" s="2"/>
      <c r="J16" s="2">
        <f>Input!H15</f>
        <v>5</v>
      </c>
      <c r="K16" s="106"/>
    </row>
    <row r="17" spans="1:11" ht="15">
      <c r="A17" s="2"/>
      <c r="B17" s="3" t="s">
        <v>70</v>
      </c>
      <c r="C17" s="2"/>
      <c r="D17" s="2"/>
      <c r="E17" s="121"/>
      <c r="F17" s="2"/>
      <c r="G17" s="2"/>
      <c r="I17" s="2"/>
      <c r="J17" s="2">
        <f>Input!H16</f>
        <v>2</v>
      </c>
      <c r="K17" s="106"/>
    </row>
    <row r="18" spans="1:11" ht="15">
      <c r="A18" s="2"/>
      <c r="B18" s="3" t="s">
        <v>71</v>
      </c>
      <c r="C18" s="2"/>
      <c r="D18" s="2"/>
      <c r="E18" s="121"/>
      <c r="F18" s="2"/>
      <c r="G18" s="2"/>
      <c r="I18" s="2"/>
      <c r="J18" s="2">
        <f>Input!H17</f>
        <v>931</v>
      </c>
      <c r="K18" s="106"/>
    </row>
    <row r="19" spans="1:11" ht="15">
      <c r="A19" s="2"/>
      <c r="B19" s="3" t="s">
        <v>409</v>
      </c>
      <c r="C19" s="2"/>
      <c r="D19" s="2"/>
      <c r="E19" s="121"/>
      <c r="F19" s="2"/>
      <c r="G19" s="2"/>
      <c r="I19" s="2"/>
      <c r="J19" s="2">
        <f>Input!H21</f>
        <v>106.7</v>
      </c>
      <c r="K19" s="106"/>
    </row>
    <row r="20" spans="1:11" ht="15">
      <c r="A20" s="2"/>
      <c r="B20" s="3" t="s">
        <v>410</v>
      </c>
      <c r="C20" s="2"/>
      <c r="D20" s="2"/>
      <c r="E20" s="121"/>
      <c r="F20" s="2"/>
      <c r="G20" s="2"/>
      <c r="I20" s="2"/>
      <c r="J20" s="2">
        <f>Input!H23</f>
        <v>5</v>
      </c>
      <c r="K20" s="106"/>
    </row>
    <row r="21" spans="1:11" ht="15">
      <c r="A21" s="2"/>
      <c r="B21" s="3" t="s">
        <v>411</v>
      </c>
      <c r="C21" s="2"/>
      <c r="D21" s="2"/>
      <c r="E21" s="121"/>
      <c r="F21" s="2"/>
      <c r="G21" s="2"/>
      <c r="I21" s="2"/>
      <c r="J21" s="13">
        <f>Input!H24</f>
        <v>0.75</v>
      </c>
      <c r="K21" s="106"/>
    </row>
    <row r="22" spans="1:11" ht="15">
      <c r="A22" s="2"/>
      <c r="B22" s="3"/>
      <c r="C22" s="2"/>
      <c r="D22" s="2"/>
      <c r="E22" s="121"/>
      <c r="F22" s="2"/>
      <c r="G22" s="2"/>
      <c r="H22" s="2"/>
      <c r="I22" s="2"/>
      <c r="J22" s="2"/>
      <c r="K22" s="106"/>
    </row>
    <row r="23" spans="1:11" ht="18">
      <c r="A23" s="2"/>
      <c r="B23" s="377" t="s">
        <v>122</v>
      </c>
      <c r="C23" s="378"/>
      <c r="D23" s="378"/>
      <c r="E23" s="378"/>
      <c r="F23" s="378"/>
      <c r="G23" s="378"/>
      <c r="H23" s="378"/>
      <c r="I23" s="378"/>
      <c r="J23" s="378"/>
      <c r="K23" s="106"/>
    </row>
    <row r="24" spans="1:11" ht="15" customHeight="1">
      <c r="A24" s="2"/>
      <c r="B24" s="46"/>
      <c r="C24" s="54"/>
      <c r="D24" s="54"/>
      <c r="E24" s="266"/>
      <c r="F24" s="54"/>
      <c r="H24" s="36" t="s">
        <v>131</v>
      </c>
      <c r="I24" s="54"/>
      <c r="J24" s="36" t="s">
        <v>234</v>
      </c>
      <c r="K24" s="106"/>
    </row>
    <row r="25" spans="1:11" ht="15" customHeight="1">
      <c r="A25" s="2"/>
      <c r="B25" s="50" t="s">
        <v>246</v>
      </c>
      <c r="C25" s="2"/>
      <c r="D25" s="54"/>
      <c r="E25" s="270" t="s">
        <v>232</v>
      </c>
      <c r="F25" s="54"/>
      <c r="H25" s="37" t="s">
        <v>233</v>
      </c>
      <c r="I25" s="54"/>
      <c r="J25" s="37" t="s">
        <v>235</v>
      </c>
      <c r="K25" s="106"/>
    </row>
    <row r="26" spans="1:11" ht="15" customHeight="1">
      <c r="A26" s="2"/>
      <c r="B26" s="53" t="s">
        <v>430</v>
      </c>
      <c r="C26" s="2"/>
      <c r="D26" s="54"/>
      <c r="E26" s="121"/>
      <c r="F26" s="2"/>
      <c r="H26" s="2"/>
      <c r="I26" s="54"/>
      <c r="J26" s="2"/>
      <c r="K26" s="106"/>
    </row>
    <row r="27" spans="1:11" ht="15" customHeight="1">
      <c r="A27" s="2"/>
      <c r="B27" s="2" t="s">
        <v>124</v>
      </c>
      <c r="C27" s="44">
        <f>Input!C30</f>
        <v>30</v>
      </c>
      <c r="D27" s="2"/>
      <c r="E27" s="271" t="str">
        <f>Input!E30</f>
        <v>Grass hay</v>
      </c>
      <c r="F27" s="54"/>
      <c r="H27" s="267">
        <f>Input!G30</f>
        <v>2.8</v>
      </c>
      <c r="I27" s="54"/>
      <c r="J27" s="12">
        <f>Input!H30</f>
        <v>85</v>
      </c>
      <c r="K27" s="106"/>
    </row>
    <row r="28" spans="1:11" ht="15" customHeight="1">
      <c r="A28" s="2"/>
      <c r="B28" s="46"/>
      <c r="C28" s="54"/>
      <c r="D28" s="2"/>
      <c r="E28" s="271" t="str">
        <f>Input!E31</f>
        <v>Barley</v>
      </c>
      <c r="F28" s="54"/>
      <c r="H28" s="267">
        <f>Input!G31</f>
        <v>0.6</v>
      </c>
      <c r="I28" s="54"/>
      <c r="J28" s="12">
        <f>Input!H31</f>
        <v>195</v>
      </c>
      <c r="K28" s="106"/>
    </row>
    <row r="29" spans="1:11" ht="15" customHeight="1">
      <c r="A29" s="2"/>
      <c r="B29" s="49" t="s">
        <v>431</v>
      </c>
      <c r="C29" s="54"/>
      <c r="D29" s="54"/>
      <c r="E29" s="121"/>
      <c r="F29" s="54"/>
      <c r="H29" s="44"/>
      <c r="I29" s="54"/>
      <c r="J29" s="54"/>
      <c r="K29" s="106"/>
    </row>
    <row r="30" spans="1:11" ht="15" customHeight="1">
      <c r="A30" s="2"/>
      <c r="B30" s="48" t="s">
        <v>124</v>
      </c>
      <c r="C30" s="48">
        <f>Input!C33</f>
        <v>115</v>
      </c>
      <c r="D30" s="48"/>
      <c r="E30" s="272" t="str">
        <f>Input!E33</f>
        <v>Grass hay</v>
      </c>
      <c r="F30" s="48"/>
      <c r="G30" s="48"/>
      <c r="H30" s="267">
        <f>Input!G33</f>
        <v>4.1</v>
      </c>
      <c r="I30" s="54"/>
      <c r="J30" s="12">
        <f>Input!H33</f>
        <v>85</v>
      </c>
      <c r="K30" s="106"/>
    </row>
    <row r="31" spans="1:11" ht="15" customHeight="1">
      <c r="A31" s="2"/>
      <c r="B31" s="48"/>
      <c r="C31" s="48">
        <f>Input!C34</f>
        <v>115</v>
      </c>
      <c r="D31" s="48"/>
      <c r="E31" s="272" t="str">
        <f>Input!E34</f>
        <v>Barley</v>
      </c>
      <c r="F31" s="48"/>
      <c r="G31" s="48"/>
      <c r="H31" s="267">
        <f>Input!G34</f>
        <v>0</v>
      </c>
      <c r="I31" s="54"/>
      <c r="J31" s="12">
        <f>Input!H34</f>
        <v>195</v>
      </c>
      <c r="K31" s="106"/>
    </row>
    <row r="32" spans="1:11" ht="15" customHeight="1">
      <c r="A32" s="2"/>
      <c r="B32" s="49" t="s">
        <v>432</v>
      </c>
      <c r="C32" s="54"/>
      <c r="D32" s="54"/>
      <c r="E32" s="266"/>
      <c r="F32" s="54"/>
      <c r="G32" s="54"/>
      <c r="H32" s="44"/>
      <c r="I32" s="54"/>
      <c r="J32" s="54"/>
      <c r="K32" s="106"/>
    </row>
    <row r="33" spans="1:11" ht="15" customHeight="1">
      <c r="A33" s="2"/>
      <c r="B33" s="48" t="s">
        <v>124</v>
      </c>
      <c r="C33" s="48">
        <f>Input!C36</f>
        <v>30</v>
      </c>
      <c r="D33" s="48"/>
      <c r="E33" s="272" t="str">
        <f>Input!E36</f>
        <v>Grass/alfalfa hay</v>
      </c>
      <c r="F33" s="48"/>
      <c r="G33" s="48"/>
      <c r="H33" s="267">
        <f>Input!G36</f>
        <v>3.6</v>
      </c>
      <c r="I33" s="54"/>
      <c r="J33" s="12">
        <f>Input!H36</f>
        <v>110</v>
      </c>
      <c r="K33" s="106"/>
    </row>
    <row r="34" spans="1:11" ht="15" customHeight="1">
      <c r="A34" s="2"/>
      <c r="B34" s="46"/>
      <c r="C34" s="48">
        <f>Input!C37</f>
        <v>30</v>
      </c>
      <c r="D34" s="48"/>
      <c r="E34" s="272" t="str">
        <f>Input!E37</f>
        <v>Barley</v>
      </c>
      <c r="F34" s="48"/>
      <c r="G34" s="48"/>
      <c r="H34" s="267">
        <f>Input!G37</f>
        <v>1</v>
      </c>
      <c r="I34" s="54"/>
      <c r="J34" s="12">
        <f>Input!H37</f>
        <v>195</v>
      </c>
      <c r="K34" s="106"/>
    </row>
    <row r="35" spans="1:11" ht="15" customHeight="1">
      <c r="A35" s="2"/>
      <c r="B35" s="46"/>
      <c r="C35" s="48">
        <f>Input!C38</f>
        <v>30</v>
      </c>
      <c r="D35" s="48"/>
      <c r="E35" s="272" t="str">
        <f>Input!E38</f>
        <v>Canola Meal</v>
      </c>
      <c r="F35" s="48"/>
      <c r="G35" s="48"/>
      <c r="H35" s="267">
        <f>Input!G38</f>
        <v>0.2</v>
      </c>
      <c r="I35" s="54"/>
      <c r="J35" s="12">
        <f>Input!H38</f>
        <v>325</v>
      </c>
      <c r="K35" s="106"/>
    </row>
    <row r="36" spans="1:11" ht="15" customHeight="1">
      <c r="A36" s="2"/>
      <c r="B36" s="49" t="s">
        <v>433</v>
      </c>
      <c r="C36" s="54"/>
      <c r="D36" s="54"/>
      <c r="E36" s="266"/>
      <c r="F36" s="54"/>
      <c r="H36" s="44"/>
      <c r="I36" s="54"/>
      <c r="J36" s="54"/>
      <c r="K36" s="106"/>
    </row>
    <row r="37" spans="1:11" ht="15" customHeight="1">
      <c r="A37" s="2"/>
      <c r="B37" s="48" t="s">
        <v>124</v>
      </c>
      <c r="C37" s="48">
        <f>Input!C40</f>
        <v>60</v>
      </c>
      <c r="D37" s="48"/>
      <c r="E37" s="272" t="str">
        <f>Input!E40</f>
        <v>Alfalfa</v>
      </c>
      <c r="F37" s="48"/>
      <c r="G37" s="48"/>
      <c r="H37" s="267">
        <f>Input!G40</f>
        <v>4.2</v>
      </c>
      <c r="I37" s="54"/>
      <c r="J37" s="12">
        <f>Input!H40</f>
        <v>130</v>
      </c>
      <c r="K37" s="106"/>
    </row>
    <row r="38" spans="1:11" ht="15" customHeight="1">
      <c r="A38" s="2"/>
      <c r="B38" s="46"/>
      <c r="C38" s="48">
        <f>Input!C41</f>
        <v>60</v>
      </c>
      <c r="D38" s="48"/>
      <c r="E38" s="272" t="str">
        <f>Input!E41</f>
        <v>Barley</v>
      </c>
      <c r="F38" s="48"/>
      <c r="G38" s="48"/>
      <c r="H38" s="267">
        <f>Input!G41</f>
        <v>1.5</v>
      </c>
      <c r="I38" s="54"/>
      <c r="J38" s="12">
        <f>Input!H41</f>
        <v>195</v>
      </c>
      <c r="K38" s="106"/>
    </row>
    <row r="39" spans="1:11" ht="15" customHeight="1">
      <c r="A39" s="2"/>
      <c r="B39" s="46"/>
      <c r="C39" s="54"/>
      <c r="D39" s="54"/>
      <c r="E39" s="272"/>
      <c r="F39" s="54"/>
      <c r="H39" s="48"/>
      <c r="I39" s="54"/>
      <c r="J39" s="12"/>
      <c r="K39" s="106"/>
    </row>
    <row r="40" spans="1:11" ht="15" customHeight="1">
      <c r="A40" s="2"/>
      <c r="B40" s="3"/>
      <c r="C40" s="2"/>
      <c r="D40" s="2"/>
      <c r="E40" s="266"/>
      <c r="F40" s="54"/>
      <c r="H40" s="36" t="s">
        <v>131</v>
      </c>
      <c r="I40" s="2"/>
      <c r="J40" s="36" t="s">
        <v>234</v>
      </c>
      <c r="K40" s="106"/>
    </row>
    <row r="41" spans="1:11" ht="15" customHeight="1">
      <c r="A41" s="2"/>
      <c r="B41" s="15" t="s">
        <v>247</v>
      </c>
      <c r="C41" s="2"/>
      <c r="D41" s="2"/>
      <c r="E41" s="270" t="s">
        <v>232</v>
      </c>
      <c r="F41" s="54"/>
      <c r="H41" s="37" t="s">
        <v>233</v>
      </c>
      <c r="I41" s="2"/>
      <c r="J41" s="37" t="s">
        <v>235</v>
      </c>
      <c r="K41" s="106"/>
    </row>
    <row r="42" spans="1:11" ht="15" customHeight="1">
      <c r="A42" s="2"/>
      <c r="B42" s="1" t="s">
        <v>248</v>
      </c>
      <c r="C42" s="2"/>
      <c r="D42" s="2"/>
      <c r="E42" s="121"/>
      <c r="F42" s="2"/>
      <c r="G42" s="2"/>
      <c r="I42" s="2"/>
      <c r="J42" s="24"/>
      <c r="K42" s="106"/>
    </row>
    <row r="43" spans="1:11" ht="15" customHeight="1">
      <c r="A43" s="2"/>
      <c r="B43" s="2" t="s">
        <v>124</v>
      </c>
      <c r="C43" s="48">
        <f>Input!C46</f>
        <v>240</v>
      </c>
      <c r="D43" s="48"/>
      <c r="E43" s="272" t="str">
        <f>Input!E46</f>
        <v>Barley</v>
      </c>
      <c r="F43" s="48"/>
      <c r="G43" s="48"/>
      <c r="H43" s="268">
        <f>Input!G46</f>
        <v>0.75</v>
      </c>
      <c r="I43" s="54"/>
      <c r="J43" s="12">
        <f>Input!H46</f>
        <v>195</v>
      </c>
      <c r="K43" s="106"/>
    </row>
    <row r="44" spans="1:11" ht="15" customHeight="1">
      <c r="A44" s="2"/>
      <c r="B44" s="2"/>
      <c r="C44" s="48">
        <f>Input!C47</f>
        <v>240</v>
      </c>
      <c r="D44" s="48"/>
      <c r="E44" s="272" t="str">
        <f>Input!E47</f>
        <v>Grass hay</v>
      </c>
      <c r="F44" s="48"/>
      <c r="G44" s="48"/>
      <c r="H44" s="267">
        <f>Input!G47</f>
        <v>5.1</v>
      </c>
      <c r="I44" s="54"/>
      <c r="J44" s="12">
        <f>Input!H47</f>
        <v>85</v>
      </c>
      <c r="K44" s="106"/>
    </row>
    <row r="45" spans="1:11" ht="15" customHeight="1">
      <c r="A45" s="2"/>
      <c r="B45" s="3"/>
      <c r="C45" s="2"/>
      <c r="D45" s="2"/>
      <c r="E45" s="121"/>
      <c r="F45" s="2"/>
      <c r="G45" s="2"/>
      <c r="H45" s="2"/>
      <c r="I45" s="2"/>
      <c r="J45" s="24"/>
      <c r="K45" s="106"/>
    </row>
    <row r="46" spans="1:11" ht="15" customHeight="1">
      <c r="A46" s="2"/>
      <c r="B46" s="15" t="s">
        <v>128</v>
      </c>
      <c r="C46" s="2"/>
      <c r="D46" s="2"/>
      <c r="E46" s="121"/>
      <c r="F46" s="2"/>
      <c r="H46" s="36"/>
      <c r="I46" s="36"/>
      <c r="J46" s="36"/>
      <c r="K46" s="106"/>
    </row>
    <row r="47" spans="1:11" ht="15" customHeight="1">
      <c r="A47" s="2"/>
      <c r="B47" s="49" t="s">
        <v>278</v>
      </c>
      <c r="C47" s="2"/>
      <c r="D47" s="2"/>
      <c r="E47" s="121"/>
      <c r="F47" s="2"/>
      <c r="H47" s="2"/>
      <c r="I47" s="2"/>
      <c r="J47" s="30"/>
      <c r="K47" s="106"/>
    </row>
    <row r="48" spans="1:11" ht="15" customHeight="1">
      <c r="A48" s="2"/>
      <c r="B48" s="48" t="s">
        <v>124</v>
      </c>
      <c r="C48" s="48">
        <f>Input!C52</f>
        <v>50</v>
      </c>
      <c r="D48" s="48"/>
      <c r="E48" s="272" t="str">
        <f>Input!E52</f>
        <v>Creep</v>
      </c>
      <c r="F48" s="48"/>
      <c r="H48" s="48">
        <f>Input!G52</f>
        <v>0.5</v>
      </c>
      <c r="I48" s="48"/>
      <c r="J48" s="12">
        <f>Input!H52</f>
        <v>290</v>
      </c>
      <c r="K48" s="106"/>
    </row>
    <row r="49" spans="1:11" ht="15" customHeight="1">
      <c r="A49" s="2"/>
      <c r="B49" s="3"/>
      <c r="C49" s="48">
        <f>Input!C53</f>
        <v>50</v>
      </c>
      <c r="D49" s="48"/>
      <c r="E49" s="272" t="str">
        <f>Input!E53</f>
        <v>Alfalfa</v>
      </c>
      <c r="F49" s="48"/>
      <c r="H49" s="48">
        <f>Input!G53</f>
        <v>0.5</v>
      </c>
      <c r="I49" s="48"/>
      <c r="J49" s="12">
        <f>Input!H53</f>
        <v>130</v>
      </c>
      <c r="K49" s="106"/>
    </row>
    <row r="50" spans="1:11" ht="15" customHeight="1">
      <c r="A50" s="2"/>
      <c r="B50" s="49" t="s">
        <v>279</v>
      </c>
      <c r="C50" s="2"/>
      <c r="D50" s="2"/>
      <c r="E50" s="121"/>
      <c r="F50" s="2"/>
      <c r="H50" s="2"/>
      <c r="I50" s="2"/>
      <c r="J50" s="30"/>
      <c r="K50" s="106"/>
    </row>
    <row r="51" spans="1:11" ht="15" customHeight="1">
      <c r="A51" s="2"/>
      <c r="B51" s="48" t="s">
        <v>124</v>
      </c>
      <c r="C51" s="48">
        <f>Input!C55</f>
        <v>30</v>
      </c>
      <c r="D51" s="48"/>
      <c r="E51" s="272" t="str">
        <f>Input!E55</f>
        <v>Creep/grower</v>
      </c>
      <c r="F51" s="48"/>
      <c r="H51" s="48">
        <f>Input!G55</f>
        <v>1</v>
      </c>
      <c r="I51" s="48"/>
      <c r="J51" s="12">
        <f>Input!H55</f>
        <v>240</v>
      </c>
      <c r="K51" s="106"/>
    </row>
    <row r="52" spans="1:11" ht="15" customHeight="1">
      <c r="A52" s="2"/>
      <c r="B52" s="3"/>
      <c r="C52" s="48">
        <f>Input!C56</f>
        <v>30</v>
      </c>
      <c r="D52" s="48"/>
      <c r="E52" s="272" t="str">
        <f>Input!E56</f>
        <v>Alfalfa</v>
      </c>
      <c r="F52" s="48"/>
      <c r="H52" s="48">
        <f>Input!G56</f>
        <v>1</v>
      </c>
      <c r="I52" s="48"/>
      <c r="J52" s="12">
        <f>Input!H56</f>
        <v>130</v>
      </c>
      <c r="K52" s="106"/>
    </row>
    <row r="53" spans="1:11" ht="15" customHeight="1">
      <c r="A53" s="2"/>
      <c r="B53" s="49" t="s">
        <v>280</v>
      </c>
      <c r="C53" s="2"/>
      <c r="D53" s="2"/>
      <c r="E53" s="121"/>
      <c r="F53" s="2"/>
      <c r="H53" s="2"/>
      <c r="I53" s="2"/>
      <c r="J53" s="30"/>
      <c r="K53" s="106"/>
    </row>
    <row r="54" spans="1:11" ht="15" customHeight="1">
      <c r="A54" s="2"/>
      <c r="B54" s="48" t="s">
        <v>124</v>
      </c>
      <c r="C54" s="48">
        <f>Input!C58</f>
        <v>100</v>
      </c>
      <c r="D54" s="48"/>
      <c r="E54" s="272" t="str">
        <f>Input!E58</f>
        <v>Finisher</v>
      </c>
      <c r="F54" s="48"/>
      <c r="H54" s="48">
        <f>Input!G58</f>
        <v>2.5</v>
      </c>
      <c r="I54" s="48"/>
      <c r="J54" s="12">
        <f>Input!H58</f>
        <v>200</v>
      </c>
      <c r="K54" s="106"/>
    </row>
    <row r="55" spans="1:11" ht="15" customHeight="1">
      <c r="A55" s="2"/>
      <c r="B55" s="3"/>
      <c r="C55" s="48">
        <f>Input!C59</f>
        <v>100</v>
      </c>
      <c r="D55" s="48"/>
      <c r="E55" s="272" t="str">
        <f>Input!E59</f>
        <v>Alfalfa</v>
      </c>
      <c r="F55" s="48"/>
      <c r="H55" s="48">
        <f>Input!G59</f>
        <v>1.5</v>
      </c>
      <c r="I55" s="48"/>
      <c r="J55" s="12">
        <f>Input!H59</f>
        <v>130</v>
      </c>
      <c r="K55" s="106"/>
    </row>
    <row r="56" spans="1:11" ht="15" customHeight="1">
      <c r="A56" s="2"/>
      <c r="B56" s="3"/>
      <c r="C56" s="2"/>
      <c r="D56" s="2"/>
      <c r="E56" s="121"/>
      <c r="F56" s="2"/>
      <c r="G56" s="2"/>
      <c r="H56" s="2"/>
      <c r="I56" s="2"/>
      <c r="J56" s="2"/>
      <c r="K56" s="106"/>
    </row>
    <row r="57" spans="1:11" ht="15" customHeight="1">
      <c r="A57" s="2"/>
      <c r="B57" s="2"/>
      <c r="C57" s="2"/>
      <c r="D57" s="2"/>
      <c r="E57" s="121"/>
      <c r="F57" s="2"/>
      <c r="H57" s="39" t="s">
        <v>131</v>
      </c>
      <c r="I57" s="36"/>
      <c r="J57" s="36" t="s">
        <v>125</v>
      </c>
      <c r="K57" s="106"/>
    </row>
    <row r="58" spans="1:11" ht="15" customHeight="1">
      <c r="A58" s="2"/>
      <c r="B58" s="15" t="s">
        <v>130</v>
      </c>
      <c r="C58" s="2"/>
      <c r="D58" s="2"/>
      <c r="E58" s="121"/>
      <c r="F58" s="2"/>
      <c r="H58" s="35" t="s">
        <v>283</v>
      </c>
      <c r="I58" s="37"/>
      <c r="J58" s="37" t="s">
        <v>254</v>
      </c>
      <c r="K58" s="106"/>
    </row>
    <row r="59" spans="1:11" ht="15" customHeight="1">
      <c r="A59" s="2"/>
      <c r="B59" s="3" t="s">
        <v>103</v>
      </c>
      <c r="C59" s="2"/>
      <c r="D59" s="2"/>
      <c r="E59" s="121"/>
      <c r="F59" s="2"/>
      <c r="H59" s="2">
        <f>Input!G63</f>
        <v>22</v>
      </c>
      <c r="I59" s="2"/>
      <c r="J59" s="13">
        <f>Input!H63</f>
        <v>0.85</v>
      </c>
      <c r="K59" s="106"/>
    </row>
    <row r="60" spans="1:11" ht="15" customHeight="1">
      <c r="A60" s="2"/>
      <c r="B60" s="3" t="s">
        <v>105</v>
      </c>
      <c r="C60" s="2"/>
      <c r="D60" s="2"/>
      <c r="E60" s="121"/>
      <c r="F60" s="2"/>
      <c r="H60" s="2">
        <f>Input!G64</f>
        <v>22</v>
      </c>
      <c r="I60" s="2"/>
      <c r="J60" s="13">
        <f>Input!H64</f>
        <v>0.85</v>
      </c>
      <c r="K60" s="106"/>
    </row>
    <row r="61" spans="1:11" ht="15" customHeight="1">
      <c r="A61" s="2"/>
      <c r="B61" s="3" t="s">
        <v>340</v>
      </c>
      <c r="C61" s="2"/>
      <c r="D61" s="2"/>
      <c r="E61" s="121"/>
      <c r="F61" s="2"/>
      <c r="H61" s="2">
        <f>Input!G65</f>
        <v>6</v>
      </c>
      <c r="I61" s="2"/>
      <c r="J61" s="13">
        <f>Input!H65</f>
        <v>0.55</v>
      </c>
      <c r="K61" s="106"/>
    </row>
    <row r="62" spans="2:11" ht="15" customHeight="1">
      <c r="B62" s="38"/>
      <c r="C62" s="106"/>
      <c r="D62" s="106"/>
      <c r="E62" s="273"/>
      <c r="F62" s="106"/>
      <c r="G62" s="106"/>
      <c r="H62" s="106"/>
      <c r="I62" s="106"/>
      <c r="J62" s="106"/>
      <c r="K62" s="106"/>
    </row>
    <row r="63" spans="2:8" ht="15.75">
      <c r="B63" s="38"/>
      <c r="C63" s="106"/>
      <c r="D63" s="106"/>
      <c r="E63" s="273"/>
      <c r="F63" s="106"/>
      <c r="G63" s="106"/>
      <c r="H63" s="106"/>
    </row>
    <row r="64" spans="2:10" ht="15.75">
      <c r="B64" s="1" t="s">
        <v>59</v>
      </c>
      <c r="C64" s="2"/>
      <c r="D64" s="2"/>
      <c r="E64" s="121"/>
      <c r="F64" s="2"/>
      <c r="J64" s="34" t="s">
        <v>253</v>
      </c>
    </row>
    <row r="65" spans="2:6" ht="15.75">
      <c r="B65" s="1" t="s">
        <v>2</v>
      </c>
      <c r="C65" s="2"/>
      <c r="D65" s="2"/>
      <c r="E65" s="121"/>
      <c r="F65" s="2"/>
    </row>
    <row r="66" spans="2:6" ht="15.75">
      <c r="B66" s="1" t="s">
        <v>236</v>
      </c>
      <c r="C66" s="2"/>
      <c r="D66" s="2"/>
      <c r="E66" s="121"/>
      <c r="F66" s="2"/>
    </row>
    <row r="67" spans="2:6" ht="15.75">
      <c r="B67" s="1" t="str">
        <f>Input!E31</f>
        <v>Barley</v>
      </c>
      <c r="C67" s="2"/>
      <c r="D67" s="2"/>
      <c r="E67" s="121"/>
      <c r="F67" s="2"/>
    </row>
    <row r="68" spans="3:13" ht="15">
      <c r="C68" s="2"/>
      <c r="D68" s="2"/>
      <c r="E68" s="274">
        <f>Input!C31</f>
        <v>30</v>
      </c>
      <c r="G68" s="2" t="s">
        <v>60</v>
      </c>
      <c r="J68" s="107"/>
      <c r="K68" s="269"/>
      <c r="L68" s="269"/>
      <c r="M68" s="269"/>
    </row>
    <row r="69" spans="3:10" ht="15">
      <c r="C69" s="2"/>
      <c r="D69" s="2" t="s">
        <v>62</v>
      </c>
      <c r="E69" s="275">
        <f>Input!G31</f>
        <v>0.6</v>
      </c>
      <c r="G69" s="3" t="s">
        <v>243</v>
      </c>
      <c r="J69" s="108"/>
    </row>
    <row r="70" spans="3:10" ht="15">
      <c r="C70" s="2"/>
      <c r="D70" s="2" t="s">
        <v>62</v>
      </c>
      <c r="E70" s="276">
        <f>Input!H31</f>
        <v>195</v>
      </c>
      <c r="G70" s="3" t="s">
        <v>61</v>
      </c>
      <c r="J70" s="108"/>
    </row>
    <row r="71" spans="3:10" ht="15">
      <c r="C71" s="2"/>
      <c r="D71" s="21" t="s">
        <v>63</v>
      </c>
      <c r="E71" s="277">
        <v>2204.5855</v>
      </c>
      <c r="F71" s="109"/>
      <c r="G71" s="22" t="s">
        <v>239</v>
      </c>
      <c r="J71" s="108"/>
    </row>
    <row r="72" spans="3:10" ht="15">
      <c r="C72" s="2"/>
      <c r="D72" s="2" t="s">
        <v>64</v>
      </c>
      <c r="E72" s="278">
        <f>ROUND(((E68*E69)*E70)/E71,2)</f>
        <v>1.59</v>
      </c>
      <c r="G72" s="3" t="s">
        <v>38</v>
      </c>
      <c r="J72" s="108"/>
    </row>
    <row r="73" spans="2:6" ht="15.75">
      <c r="B73" s="1" t="str">
        <f>Input!E30</f>
        <v>Grass hay</v>
      </c>
      <c r="C73" s="2"/>
      <c r="D73" s="2"/>
      <c r="E73" s="121"/>
      <c r="F73" s="2"/>
    </row>
    <row r="74" spans="3:10" ht="15">
      <c r="C74" s="2"/>
      <c r="D74" s="2"/>
      <c r="E74" s="279">
        <f>Input!C30</f>
        <v>30</v>
      </c>
      <c r="F74" s="2"/>
      <c r="G74" s="3" t="s">
        <v>80</v>
      </c>
      <c r="J74" s="108"/>
    </row>
    <row r="75" spans="3:10" ht="15">
      <c r="C75" s="2"/>
      <c r="D75" s="2" t="s">
        <v>62</v>
      </c>
      <c r="E75" s="121">
        <f>Input!G30</f>
        <v>2.8</v>
      </c>
      <c r="F75" s="2"/>
      <c r="G75" s="3" t="s">
        <v>437</v>
      </c>
      <c r="J75" s="108"/>
    </row>
    <row r="76" spans="3:10" ht="15">
      <c r="C76" s="2"/>
      <c r="D76" s="2" t="s">
        <v>62</v>
      </c>
      <c r="E76" s="278">
        <f>Input!H30</f>
        <v>85</v>
      </c>
      <c r="F76" s="2"/>
      <c r="G76" s="3" t="s">
        <v>436</v>
      </c>
      <c r="J76" s="108"/>
    </row>
    <row r="77" spans="3:10" ht="15">
      <c r="C77" s="2"/>
      <c r="D77" s="21" t="s">
        <v>63</v>
      </c>
      <c r="E77" s="277">
        <v>2204.5855</v>
      </c>
      <c r="F77" s="21"/>
      <c r="G77" s="23" t="s">
        <v>239</v>
      </c>
      <c r="H77" s="109"/>
      <c r="J77" s="108"/>
    </row>
    <row r="78" spans="3:10" ht="15">
      <c r="C78" s="2"/>
      <c r="D78" s="2" t="s">
        <v>64</v>
      </c>
      <c r="E78" s="278">
        <f>ROUND(((E74*E75)*E76)/E77,2)</f>
        <v>3.24</v>
      </c>
      <c r="F78" s="2"/>
      <c r="G78" s="3" t="s">
        <v>38</v>
      </c>
      <c r="J78" s="108"/>
    </row>
    <row r="79" spans="3:7" ht="15">
      <c r="C79" s="2"/>
      <c r="D79" s="2"/>
      <c r="E79" s="121"/>
      <c r="F79" s="2"/>
      <c r="G79" s="3"/>
    </row>
    <row r="80" spans="2:6" ht="15.75">
      <c r="B80" s="1" t="s">
        <v>237</v>
      </c>
      <c r="C80" s="2"/>
      <c r="D80" s="2"/>
      <c r="E80" s="121"/>
      <c r="F80" s="2"/>
    </row>
    <row r="81" spans="2:6" ht="15.75">
      <c r="B81" s="1"/>
      <c r="C81" s="2"/>
      <c r="D81" s="2"/>
      <c r="E81" s="121"/>
      <c r="F81" s="2"/>
    </row>
    <row r="82" spans="2:6" ht="15.75">
      <c r="B82" s="1" t="str">
        <f>Input!E34</f>
        <v>Barley</v>
      </c>
      <c r="C82" s="2"/>
      <c r="D82" s="2"/>
      <c r="E82" s="121"/>
      <c r="F82" s="2"/>
    </row>
    <row r="83" spans="3:10" ht="15">
      <c r="C83" s="2"/>
      <c r="D83" s="2"/>
      <c r="E83" s="121">
        <f>Input!C34</f>
        <v>115</v>
      </c>
      <c r="F83" s="2"/>
      <c r="G83" s="3" t="s">
        <v>80</v>
      </c>
      <c r="J83" s="108"/>
    </row>
    <row r="84" spans="3:10" ht="15">
      <c r="C84" s="2"/>
      <c r="D84" s="2" t="s">
        <v>62</v>
      </c>
      <c r="E84" s="121">
        <f>Input!G34</f>
        <v>0</v>
      </c>
      <c r="F84" s="2"/>
      <c r="G84" s="3" t="s">
        <v>243</v>
      </c>
      <c r="J84" s="108"/>
    </row>
    <row r="85" spans="3:10" ht="15">
      <c r="C85" s="2"/>
      <c r="D85" s="2" t="s">
        <v>62</v>
      </c>
      <c r="E85" s="278">
        <f>Input!H34</f>
        <v>195</v>
      </c>
      <c r="F85" s="2"/>
      <c r="G85" s="3" t="s">
        <v>61</v>
      </c>
      <c r="J85" s="108"/>
    </row>
    <row r="86" spans="3:10" ht="15">
      <c r="C86" s="2"/>
      <c r="D86" s="21" t="s">
        <v>63</v>
      </c>
      <c r="E86" s="277">
        <v>2204.5855</v>
      </c>
      <c r="F86" s="21"/>
      <c r="G86" s="23" t="s">
        <v>239</v>
      </c>
      <c r="H86" s="109"/>
      <c r="J86" s="108"/>
    </row>
    <row r="87" spans="3:10" ht="15">
      <c r="C87" s="2"/>
      <c r="D87" s="2" t="s">
        <v>64</v>
      </c>
      <c r="E87" s="278">
        <f>ROUND(((E83*E84)*E85)/E86,2)</f>
        <v>0</v>
      </c>
      <c r="F87" s="2"/>
      <c r="G87" s="3" t="s">
        <v>38</v>
      </c>
      <c r="J87" s="108"/>
    </row>
    <row r="88" spans="2:6" ht="15.75">
      <c r="B88" s="1" t="str">
        <f>Input!E33</f>
        <v>Grass hay</v>
      </c>
      <c r="C88" s="2"/>
      <c r="D88" s="2"/>
      <c r="E88" s="121"/>
      <c r="F88" s="2"/>
    </row>
    <row r="89" spans="3:10" ht="15">
      <c r="C89" s="2"/>
      <c r="D89" s="2"/>
      <c r="E89" s="121">
        <f>Input!C33</f>
        <v>115</v>
      </c>
      <c r="F89" s="2"/>
      <c r="G89" s="3" t="s">
        <v>80</v>
      </c>
      <c r="J89" s="108"/>
    </row>
    <row r="90" spans="3:10" ht="15">
      <c r="C90" s="2"/>
      <c r="D90" s="2" t="s">
        <v>62</v>
      </c>
      <c r="E90" s="121">
        <f>Input!G33</f>
        <v>4.1</v>
      </c>
      <c r="F90" s="2"/>
      <c r="G90" s="3" t="s">
        <v>437</v>
      </c>
      <c r="J90" s="108"/>
    </row>
    <row r="91" spans="3:10" ht="15">
      <c r="C91" s="2"/>
      <c r="D91" s="2" t="s">
        <v>62</v>
      </c>
      <c r="E91" s="278">
        <f>Input!H33</f>
        <v>85</v>
      </c>
      <c r="F91" s="2"/>
      <c r="G91" s="3" t="s">
        <v>438</v>
      </c>
      <c r="J91" s="108"/>
    </row>
    <row r="92" spans="3:10" ht="15">
      <c r="C92" s="2"/>
      <c r="D92" s="21" t="s">
        <v>63</v>
      </c>
      <c r="E92" s="277">
        <v>2204.5855</v>
      </c>
      <c r="F92" s="21"/>
      <c r="G92" s="23" t="s">
        <v>239</v>
      </c>
      <c r="H92" s="109"/>
      <c r="J92" s="108"/>
    </row>
    <row r="93" spans="3:10" ht="15">
      <c r="C93" s="2"/>
      <c r="D93" s="2" t="s">
        <v>64</v>
      </c>
      <c r="E93" s="278">
        <f>ROUND(((E89*E90)*E91)/E92,2)</f>
        <v>18.18</v>
      </c>
      <c r="F93" s="2"/>
      <c r="G93" s="3" t="s">
        <v>38</v>
      </c>
      <c r="J93" s="108"/>
    </row>
    <row r="94" spans="3:10" ht="15">
      <c r="C94" s="2"/>
      <c r="D94" s="2"/>
      <c r="E94" s="278"/>
      <c r="F94" s="2"/>
      <c r="G94" s="3"/>
      <c r="J94" s="110"/>
    </row>
    <row r="95" spans="2:11" ht="15.75">
      <c r="B95" s="1" t="s">
        <v>238</v>
      </c>
      <c r="C95" s="2"/>
      <c r="D95" s="2"/>
      <c r="E95" s="121"/>
      <c r="F95" s="2"/>
      <c r="K95" s="110"/>
    </row>
    <row r="96" spans="2:10" ht="15.75">
      <c r="B96" s="20" t="str">
        <f>Input!E37</f>
        <v>Barley</v>
      </c>
      <c r="C96" s="2"/>
      <c r="D96" s="2"/>
      <c r="E96" s="121">
        <f>Input!C37</f>
        <v>30</v>
      </c>
      <c r="F96" s="2"/>
      <c r="G96" s="3" t="s">
        <v>80</v>
      </c>
      <c r="J96" s="107"/>
    </row>
    <row r="97" spans="3:10" ht="15">
      <c r="C97" s="2"/>
      <c r="D97" s="2" t="s">
        <v>62</v>
      </c>
      <c r="E97" s="121">
        <f>Input!G37</f>
        <v>1</v>
      </c>
      <c r="F97" s="2"/>
      <c r="G97" s="3" t="s">
        <v>243</v>
      </c>
      <c r="J97" s="108"/>
    </row>
    <row r="98" spans="3:10" ht="15">
      <c r="C98" s="2"/>
      <c r="D98" s="2" t="s">
        <v>62</v>
      </c>
      <c r="E98" s="278">
        <f>Input!H37</f>
        <v>195</v>
      </c>
      <c r="F98" s="2"/>
      <c r="G98" s="3" t="s">
        <v>61</v>
      </c>
      <c r="J98" s="108"/>
    </row>
    <row r="99" spans="3:10" ht="15">
      <c r="C99" s="2"/>
      <c r="D99" s="21" t="s">
        <v>63</v>
      </c>
      <c r="E99" s="277">
        <v>2204.5855</v>
      </c>
      <c r="F99" s="21"/>
      <c r="G99" s="23" t="s">
        <v>239</v>
      </c>
      <c r="H99" s="109"/>
      <c r="J99" s="108"/>
    </row>
    <row r="100" spans="3:10" ht="15">
      <c r="C100" s="2"/>
      <c r="D100" s="2" t="s">
        <v>64</v>
      </c>
      <c r="E100" s="278">
        <f>ROUND(((E96*E97)*E98)/E99,2)</f>
        <v>2.65</v>
      </c>
      <c r="F100" s="2"/>
      <c r="G100" s="3" t="s">
        <v>38</v>
      </c>
      <c r="J100" s="108"/>
    </row>
    <row r="101" spans="3:11" ht="15">
      <c r="C101" s="2"/>
      <c r="D101" s="2"/>
      <c r="E101" s="121"/>
      <c r="F101" s="2"/>
      <c r="G101" s="3"/>
      <c r="K101" s="110"/>
    </row>
    <row r="102" spans="2:10" ht="15.75">
      <c r="B102" s="20" t="str">
        <f>Input!E36</f>
        <v>Grass/alfalfa hay</v>
      </c>
      <c r="C102" s="2"/>
      <c r="D102" s="2"/>
      <c r="E102" s="121">
        <f>Input!C36</f>
        <v>30</v>
      </c>
      <c r="F102" s="2"/>
      <c r="G102" s="3" t="s">
        <v>80</v>
      </c>
      <c r="J102" s="107"/>
    </row>
    <row r="103" spans="3:10" ht="15">
      <c r="C103" s="2"/>
      <c r="D103" s="2" t="s">
        <v>62</v>
      </c>
      <c r="E103" s="121">
        <f>Input!G36</f>
        <v>3.6</v>
      </c>
      <c r="F103" s="2"/>
      <c r="G103" s="3" t="s">
        <v>439</v>
      </c>
      <c r="J103" s="108"/>
    </row>
    <row r="104" spans="3:10" ht="15">
      <c r="C104" s="2"/>
      <c r="D104" s="2" t="s">
        <v>62</v>
      </c>
      <c r="E104" s="278">
        <f>Input!H36</f>
        <v>110</v>
      </c>
      <c r="F104" s="2"/>
      <c r="G104" s="3" t="s">
        <v>440</v>
      </c>
      <c r="J104" s="108"/>
    </row>
    <row r="105" spans="3:10" ht="15">
      <c r="C105" s="2"/>
      <c r="D105" s="21" t="s">
        <v>63</v>
      </c>
      <c r="E105" s="277">
        <v>2204.5855</v>
      </c>
      <c r="F105" s="2"/>
      <c r="G105" s="23" t="s">
        <v>239</v>
      </c>
      <c r="J105" s="108"/>
    </row>
    <row r="106" spans="3:10" ht="15">
      <c r="C106" s="2"/>
      <c r="D106" s="2" t="s">
        <v>64</v>
      </c>
      <c r="E106" s="278">
        <f>ROUND(((E102*E103)*E104)/E105,2)</f>
        <v>5.39</v>
      </c>
      <c r="F106" s="2"/>
      <c r="G106" s="3" t="s">
        <v>38</v>
      </c>
      <c r="J106" s="108"/>
    </row>
    <row r="107" spans="3:7" ht="15">
      <c r="C107" s="2"/>
      <c r="D107" s="2"/>
      <c r="E107" s="121"/>
      <c r="F107" s="2"/>
      <c r="G107" s="3"/>
    </row>
    <row r="108" spans="2:10" ht="15.75">
      <c r="B108" s="20" t="str">
        <f>Input!E38</f>
        <v>Canola Meal</v>
      </c>
      <c r="C108" s="2"/>
      <c r="D108" s="2"/>
      <c r="E108" s="121">
        <f>Input!C38</f>
        <v>30</v>
      </c>
      <c r="F108" s="2"/>
      <c r="G108" s="3" t="s">
        <v>80</v>
      </c>
      <c r="J108" s="107"/>
    </row>
    <row r="109" spans="3:10" ht="15">
      <c r="C109" s="2"/>
      <c r="D109" s="2" t="s">
        <v>62</v>
      </c>
      <c r="E109" s="121">
        <f>Input!G38</f>
        <v>0.2</v>
      </c>
      <c r="F109" s="2"/>
      <c r="G109" s="3" t="s">
        <v>441</v>
      </c>
      <c r="J109" s="108"/>
    </row>
    <row r="110" spans="3:10" ht="15">
      <c r="C110" s="2"/>
      <c r="D110" s="2" t="s">
        <v>62</v>
      </c>
      <c r="E110" s="278">
        <f>Input!H38</f>
        <v>325</v>
      </c>
      <c r="F110" s="2"/>
      <c r="G110" s="3" t="s">
        <v>240</v>
      </c>
      <c r="J110" s="108"/>
    </row>
    <row r="111" spans="3:10" ht="15">
      <c r="C111" s="2"/>
      <c r="D111" s="21" t="s">
        <v>63</v>
      </c>
      <c r="E111" s="277">
        <v>2204.5855</v>
      </c>
      <c r="F111" s="2"/>
      <c r="G111" s="23" t="s">
        <v>239</v>
      </c>
      <c r="J111" s="108"/>
    </row>
    <row r="112" spans="3:10" ht="15">
      <c r="C112" s="2"/>
      <c r="D112" s="2" t="s">
        <v>64</v>
      </c>
      <c r="E112" s="278">
        <f>ROUND(((E108*E109)*E110)/E111,2)</f>
        <v>0.88</v>
      </c>
      <c r="F112" s="2"/>
      <c r="G112" s="3" t="s">
        <v>38</v>
      </c>
      <c r="J112" s="108"/>
    </row>
    <row r="113" spans="2:11" ht="15.75">
      <c r="B113" s="1" t="s">
        <v>245</v>
      </c>
      <c r="C113" s="2"/>
      <c r="D113" s="2"/>
      <c r="E113" s="121"/>
      <c r="F113" s="2"/>
      <c r="G113" s="3"/>
      <c r="K113" s="110"/>
    </row>
    <row r="114" spans="2:10" ht="15.75">
      <c r="B114" s="20" t="str">
        <f>Input!E41</f>
        <v>Barley</v>
      </c>
      <c r="C114" s="2"/>
      <c r="D114" s="2"/>
      <c r="E114" s="121">
        <f>Input!C41</f>
        <v>60</v>
      </c>
      <c r="F114" s="2"/>
      <c r="G114" s="3" t="s">
        <v>80</v>
      </c>
      <c r="J114" s="107"/>
    </row>
    <row r="115" spans="3:10" ht="15">
      <c r="C115" s="2"/>
      <c r="D115" s="2" t="s">
        <v>62</v>
      </c>
      <c r="E115" s="121">
        <f>Input!G41</f>
        <v>1.5</v>
      </c>
      <c r="F115" s="2"/>
      <c r="G115" s="3" t="s">
        <v>243</v>
      </c>
      <c r="J115" s="108"/>
    </row>
    <row r="116" spans="3:10" ht="15">
      <c r="C116" s="2"/>
      <c r="D116" s="2" t="s">
        <v>62</v>
      </c>
      <c r="E116" s="278">
        <f>Input!H41</f>
        <v>195</v>
      </c>
      <c r="F116" s="2"/>
      <c r="G116" s="3" t="s">
        <v>61</v>
      </c>
      <c r="J116" s="108"/>
    </row>
    <row r="117" spans="3:10" ht="15">
      <c r="C117" s="2"/>
      <c r="D117" s="21" t="s">
        <v>63</v>
      </c>
      <c r="E117" s="277">
        <v>2204.5855</v>
      </c>
      <c r="F117" s="21"/>
      <c r="G117" s="23" t="s">
        <v>239</v>
      </c>
      <c r="H117" s="109"/>
      <c r="J117" s="108"/>
    </row>
    <row r="118" spans="3:10" ht="15">
      <c r="C118" s="2"/>
      <c r="D118" s="2" t="s">
        <v>64</v>
      </c>
      <c r="E118" s="278">
        <f>ROUND(((E114*E115)*E116)/E117,2)</f>
        <v>7.96</v>
      </c>
      <c r="F118" s="2"/>
      <c r="G118" s="3" t="s">
        <v>38</v>
      </c>
      <c r="J118" s="108"/>
    </row>
    <row r="119" spans="3:11" ht="15">
      <c r="C119" s="2"/>
      <c r="D119" s="2"/>
      <c r="E119" s="121"/>
      <c r="F119" s="2"/>
      <c r="G119" s="3"/>
      <c r="K119" s="110"/>
    </row>
    <row r="120" spans="2:10" ht="15.75">
      <c r="B120" s="20" t="str">
        <f>Input!E40</f>
        <v>Alfalfa</v>
      </c>
      <c r="C120" s="2"/>
      <c r="D120" s="2"/>
      <c r="E120" s="121">
        <f>Input!C40</f>
        <v>60</v>
      </c>
      <c r="F120" s="2"/>
      <c r="G120" s="3" t="s">
        <v>80</v>
      </c>
      <c r="J120" s="107"/>
    </row>
    <row r="121" spans="3:10" ht="15">
      <c r="C121" s="2"/>
      <c r="D121" s="2" t="s">
        <v>62</v>
      </c>
      <c r="E121" s="121">
        <f>Input!G40</f>
        <v>4.2</v>
      </c>
      <c r="F121" s="2"/>
      <c r="G121" s="3" t="s">
        <v>244</v>
      </c>
      <c r="J121" s="108"/>
    </row>
    <row r="122" spans="3:10" ht="15">
      <c r="C122" s="2"/>
      <c r="D122" s="2" t="s">
        <v>62</v>
      </c>
      <c r="E122" s="278">
        <f>Input!H40</f>
        <v>130</v>
      </c>
      <c r="F122" s="2"/>
      <c r="G122" s="3" t="s">
        <v>240</v>
      </c>
      <c r="J122" s="108"/>
    </row>
    <row r="123" spans="3:10" ht="15">
      <c r="C123" s="2"/>
      <c r="D123" s="21" t="s">
        <v>63</v>
      </c>
      <c r="E123" s="277">
        <v>2204.5855</v>
      </c>
      <c r="F123" s="2"/>
      <c r="G123" s="23" t="s">
        <v>239</v>
      </c>
      <c r="J123" s="108"/>
    </row>
    <row r="124" spans="3:10" ht="15">
      <c r="C124" s="2"/>
      <c r="D124" s="2" t="s">
        <v>64</v>
      </c>
      <c r="E124" s="278">
        <f>ROUND(((E120*E121)*E122)/E123,2)</f>
        <v>14.86</v>
      </c>
      <c r="F124" s="2"/>
      <c r="G124" s="3" t="s">
        <v>38</v>
      </c>
      <c r="J124" s="108"/>
    </row>
    <row r="125" spans="3:10" ht="15">
      <c r="C125" s="2"/>
      <c r="D125" s="2"/>
      <c r="E125" s="278"/>
      <c r="F125" s="2"/>
      <c r="G125" s="3"/>
      <c r="J125" s="110"/>
    </row>
    <row r="126" spans="2:10" ht="15.75">
      <c r="B126" s="20" t="s">
        <v>90</v>
      </c>
      <c r="C126" s="20"/>
      <c r="D126" s="20" t="s">
        <v>64</v>
      </c>
      <c r="E126" s="280">
        <f>SUM(E72+E78+E87+E93+E100+E106+E118+E124+E112)</f>
        <v>54.75</v>
      </c>
      <c r="F126" s="2"/>
      <c r="G126" s="1" t="s">
        <v>38</v>
      </c>
      <c r="J126" s="108"/>
    </row>
    <row r="127" spans="3:7" ht="15">
      <c r="C127" s="2"/>
      <c r="D127" s="2"/>
      <c r="E127" s="121"/>
      <c r="F127" s="2"/>
      <c r="G127" s="3"/>
    </row>
    <row r="128" spans="2:6" ht="15.75">
      <c r="B128" s="1" t="s">
        <v>249</v>
      </c>
      <c r="C128" s="2"/>
      <c r="D128" s="2"/>
      <c r="E128" s="121"/>
      <c r="F128" s="2"/>
    </row>
    <row r="129" spans="2:11" ht="15.75">
      <c r="B129" s="1" t="str">
        <f>Input!E46</f>
        <v>Barley</v>
      </c>
      <c r="C129" s="2"/>
      <c r="D129" s="2"/>
      <c r="E129" s="121"/>
      <c r="F129" s="2"/>
      <c r="K129" s="110"/>
    </row>
    <row r="130" spans="3:10" ht="15">
      <c r="C130" s="2"/>
      <c r="D130" s="2"/>
      <c r="E130" s="121">
        <f>Input!C46</f>
        <v>240</v>
      </c>
      <c r="F130" s="2"/>
      <c r="G130" s="3" t="s">
        <v>80</v>
      </c>
      <c r="J130" s="107"/>
    </row>
    <row r="131" spans="3:10" ht="15">
      <c r="C131" s="2"/>
      <c r="D131" s="2" t="s">
        <v>62</v>
      </c>
      <c r="E131" s="121">
        <f>Input!G46</f>
        <v>0.75</v>
      </c>
      <c r="F131" s="2"/>
      <c r="G131" s="3" t="s">
        <v>241</v>
      </c>
      <c r="J131" s="108"/>
    </row>
    <row r="132" spans="3:10" ht="15">
      <c r="C132" s="2"/>
      <c r="D132" s="2" t="s">
        <v>62</v>
      </c>
      <c r="E132" s="278">
        <f>Input!H46</f>
        <v>195</v>
      </c>
      <c r="F132" s="2"/>
      <c r="G132" s="3" t="s">
        <v>61</v>
      </c>
      <c r="J132" s="108"/>
    </row>
    <row r="133" spans="3:10" ht="15">
      <c r="C133" s="2"/>
      <c r="D133" s="21" t="s">
        <v>63</v>
      </c>
      <c r="E133" s="277">
        <v>2204.5855</v>
      </c>
      <c r="F133" s="21"/>
      <c r="G133" s="23" t="s">
        <v>239</v>
      </c>
      <c r="H133" s="109"/>
      <c r="J133" s="108"/>
    </row>
    <row r="134" spans="2:10" ht="15">
      <c r="B134" s="2"/>
      <c r="C134" s="2"/>
      <c r="D134" s="2" t="s">
        <v>64</v>
      </c>
      <c r="E134" s="278">
        <f>ROUND(((E130*E131)*E132)/E133,2)</f>
        <v>15.92</v>
      </c>
      <c r="F134" s="2"/>
      <c r="G134" s="2" t="s">
        <v>81</v>
      </c>
      <c r="J134" s="108"/>
    </row>
    <row r="135" spans="2:10" ht="15">
      <c r="B135" s="3"/>
      <c r="C135" s="2"/>
      <c r="D135" s="2" t="s">
        <v>62</v>
      </c>
      <c r="E135" s="121">
        <f>Input!H11</f>
        <v>13</v>
      </c>
      <c r="F135" s="2"/>
      <c r="G135" s="2" t="s">
        <v>40</v>
      </c>
      <c r="J135" s="108"/>
    </row>
    <row r="136" spans="2:10" ht="15">
      <c r="B136" s="2"/>
      <c r="C136" s="2"/>
      <c r="D136" s="21" t="s">
        <v>63</v>
      </c>
      <c r="E136" s="281">
        <f>Input!H10</f>
        <v>500</v>
      </c>
      <c r="F136" s="21"/>
      <c r="G136" s="21" t="s">
        <v>41</v>
      </c>
      <c r="J136" s="108"/>
    </row>
    <row r="137" spans="2:10" ht="15">
      <c r="B137" s="2"/>
      <c r="C137" s="2"/>
      <c r="D137" s="24" t="s">
        <v>64</v>
      </c>
      <c r="E137" s="278">
        <f>ROUND((E134*E135)/E136,2)</f>
        <v>0.41</v>
      </c>
      <c r="F137" s="2"/>
      <c r="G137" s="3" t="s">
        <v>38</v>
      </c>
      <c r="J137" s="108"/>
    </row>
    <row r="138" spans="2:11" ht="15.75">
      <c r="B138" s="1" t="str">
        <f>Input!E47</f>
        <v>Grass hay</v>
      </c>
      <c r="C138" s="2"/>
      <c r="D138" s="3"/>
      <c r="E138" s="121"/>
      <c r="F138" s="2"/>
      <c r="K138" s="110"/>
    </row>
    <row r="139" spans="2:10" ht="15">
      <c r="B139" s="2"/>
      <c r="C139" s="2"/>
      <c r="D139" s="3"/>
      <c r="E139" s="121">
        <f>Input!C47</f>
        <v>240</v>
      </c>
      <c r="F139" s="2"/>
      <c r="G139" s="3" t="s">
        <v>80</v>
      </c>
      <c r="J139" s="107"/>
    </row>
    <row r="140" spans="2:10" ht="15">
      <c r="B140" s="2"/>
      <c r="C140" s="2"/>
      <c r="D140" s="2" t="s">
        <v>62</v>
      </c>
      <c r="E140" s="121">
        <f>Input!G47</f>
        <v>5.1</v>
      </c>
      <c r="F140" s="2"/>
      <c r="G140" s="3" t="s">
        <v>242</v>
      </c>
      <c r="J140" s="108"/>
    </row>
    <row r="141" spans="2:10" ht="15">
      <c r="B141" s="2"/>
      <c r="C141" s="2"/>
      <c r="D141" s="2" t="s">
        <v>62</v>
      </c>
      <c r="E141" s="278">
        <f>Input!H47</f>
        <v>85</v>
      </c>
      <c r="F141" s="2"/>
      <c r="G141" s="3" t="s">
        <v>82</v>
      </c>
      <c r="J141" s="108"/>
    </row>
    <row r="142" spans="2:10" ht="15">
      <c r="B142" s="2"/>
      <c r="C142" s="2"/>
      <c r="D142" s="21" t="s">
        <v>63</v>
      </c>
      <c r="E142" s="277">
        <v>2204.5855</v>
      </c>
      <c r="F142" s="2"/>
      <c r="G142" s="23" t="s">
        <v>239</v>
      </c>
      <c r="J142" s="108"/>
    </row>
    <row r="143" spans="2:10" ht="15">
      <c r="B143" s="2"/>
      <c r="C143" s="2"/>
      <c r="D143" s="2" t="s">
        <v>64</v>
      </c>
      <c r="E143" s="278">
        <f>ROUND(((E139*E140)*E141)/E142,2)</f>
        <v>47.19</v>
      </c>
      <c r="F143" s="2"/>
      <c r="G143" s="2" t="s">
        <v>81</v>
      </c>
      <c r="J143" s="108"/>
    </row>
    <row r="144" spans="2:10" ht="15">
      <c r="B144" s="2"/>
      <c r="C144" s="2"/>
      <c r="D144" s="2" t="s">
        <v>62</v>
      </c>
      <c r="E144" s="121">
        <f>Input!H11</f>
        <v>13</v>
      </c>
      <c r="F144" s="2"/>
      <c r="G144" s="2" t="s">
        <v>40</v>
      </c>
      <c r="J144" s="108"/>
    </row>
    <row r="145" spans="2:10" ht="15">
      <c r="B145" s="2"/>
      <c r="C145" s="2"/>
      <c r="D145" s="21" t="s">
        <v>63</v>
      </c>
      <c r="E145" s="281">
        <f>Input!H10</f>
        <v>500</v>
      </c>
      <c r="F145" s="2"/>
      <c r="G145" s="21" t="s">
        <v>41</v>
      </c>
      <c r="J145" s="108"/>
    </row>
    <row r="146" spans="2:10" ht="15">
      <c r="B146" s="2"/>
      <c r="C146" s="2"/>
      <c r="D146" s="25" t="s">
        <v>64</v>
      </c>
      <c r="E146" s="278">
        <f>ROUND((E143*E144)/E145,2)</f>
        <v>1.23</v>
      </c>
      <c r="F146" s="2"/>
      <c r="G146" s="3" t="s">
        <v>38</v>
      </c>
      <c r="J146" s="108"/>
    </row>
    <row r="147" spans="2:10" ht="15">
      <c r="B147" s="2"/>
      <c r="C147" s="2"/>
      <c r="D147" s="25"/>
      <c r="E147" s="278"/>
      <c r="F147" s="2"/>
      <c r="G147" s="3"/>
      <c r="J147" s="110"/>
    </row>
    <row r="148" spans="2:10" ht="15.75">
      <c r="B148" s="20" t="s">
        <v>19</v>
      </c>
      <c r="C148" s="20"/>
      <c r="D148" s="20" t="s">
        <v>64</v>
      </c>
      <c r="E148" s="280">
        <f>E137+E146</f>
        <v>1.64</v>
      </c>
      <c r="F148" s="2"/>
      <c r="G148" s="1" t="s">
        <v>38</v>
      </c>
      <c r="J148" s="108"/>
    </row>
    <row r="149" spans="2:7" ht="15.75">
      <c r="B149" s="20"/>
      <c r="C149" s="20"/>
      <c r="D149" s="20"/>
      <c r="E149" s="280"/>
      <c r="F149" s="2"/>
      <c r="G149" s="1"/>
    </row>
    <row r="150" spans="2:11" ht="15.75">
      <c r="B150" s="1" t="s">
        <v>296</v>
      </c>
      <c r="C150" s="2"/>
      <c r="D150" s="3"/>
      <c r="E150" s="121"/>
      <c r="F150" s="2"/>
      <c r="K150" s="110"/>
    </row>
    <row r="151" spans="2:11" ht="15">
      <c r="B151" s="3" t="s">
        <v>298</v>
      </c>
      <c r="C151" s="2"/>
      <c r="D151" s="3"/>
      <c r="E151" s="121">
        <f>Input!C52</f>
        <v>50</v>
      </c>
      <c r="F151" s="2"/>
      <c r="G151" s="2" t="s">
        <v>80</v>
      </c>
      <c r="J151" s="107"/>
      <c r="K151" s="110"/>
    </row>
    <row r="152" spans="2:10" ht="15">
      <c r="B152" s="2"/>
      <c r="C152" s="2"/>
      <c r="D152" s="3"/>
      <c r="E152" s="121">
        <f>Input!G52</f>
        <v>0.5</v>
      </c>
      <c r="F152" s="2"/>
      <c r="G152" s="2" t="s">
        <v>297</v>
      </c>
      <c r="J152" s="107"/>
    </row>
    <row r="153" spans="2:10" ht="15">
      <c r="B153" s="2"/>
      <c r="C153" s="2"/>
      <c r="D153" s="2" t="s">
        <v>62</v>
      </c>
      <c r="E153" s="279">
        <f>ROUND(((Input!$H$10*(Input!$H$12/100)*(1-Input!$H$15/100))),0)</f>
        <v>950</v>
      </c>
      <c r="F153" s="2"/>
      <c r="G153" s="2" t="s">
        <v>83</v>
      </c>
      <c r="J153" s="108"/>
    </row>
    <row r="154" spans="2:10" ht="15">
      <c r="B154" s="2"/>
      <c r="C154" s="2"/>
      <c r="D154" s="2" t="s">
        <v>62</v>
      </c>
      <c r="E154" s="278">
        <f>Input!H52</f>
        <v>290</v>
      </c>
      <c r="F154" s="2"/>
      <c r="G154" s="24" t="s">
        <v>84</v>
      </c>
      <c r="J154" s="108"/>
    </row>
    <row r="155" spans="2:10" ht="15">
      <c r="B155" s="2"/>
      <c r="C155" s="2"/>
      <c r="D155" s="2" t="s">
        <v>63</v>
      </c>
      <c r="E155" s="277">
        <v>2204.5855</v>
      </c>
      <c r="F155" s="2"/>
      <c r="G155" s="2" t="s">
        <v>239</v>
      </c>
      <c r="J155" s="108"/>
    </row>
    <row r="156" spans="2:10" ht="15">
      <c r="B156" s="2"/>
      <c r="C156" s="2"/>
      <c r="D156" s="21" t="s">
        <v>63</v>
      </c>
      <c r="E156" s="281">
        <f>Input!H10</f>
        <v>500</v>
      </c>
      <c r="F156" s="2"/>
      <c r="G156" s="2" t="s">
        <v>41</v>
      </c>
      <c r="J156" s="108"/>
    </row>
    <row r="157" spans="2:10" ht="15">
      <c r="B157" s="2"/>
      <c r="C157" s="2"/>
      <c r="D157" s="25" t="s">
        <v>64</v>
      </c>
      <c r="E157" s="278">
        <f>ROUND((((E151*E152*E153)*E154)/E155)/E156,2)</f>
        <v>6.25</v>
      </c>
      <c r="F157" s="2"/>
      <c r="G157" s="24" t="s">
        <v>38</v>
      </c>
      <c r="J157" s="108"/>
    </row>
    <row r="158" spans="2:6" ht="15">
      <c r="B158" s="2"/>
      <c r="C158" s="2"/>
      <c r="D158" s="3"/>
      <c r="E158" s="121"/>
      <c r="F158" s="2"/>
    </row>
    <row r="159" spans="2:10" ht="15">
      <c r="B159" s="3" t="s">
        <v>300</v>
      </c>
      <c r="C159" s="2"/>
      <c r="D159" s="3"/>
      <c r="E159" s="121">
        <f>Input!C52</f>
        <v>50</v>
      </c>
      <c r="F159" s="2"/>
      <c r="G159" s="2" t="s">
        <v>80</v>
      </c>
      <c r="J159" s="107"/>
    </row>
    <row r="160" spans="2:10" ht="15">
      <c r="B160" s="2"/>
      <c r="C160" s="2"/>
      <c r="D160" s="3"/>
      <c r="E160" s="121">
        <f>Input!G53</f>
        <v>0.5</v>
      </c>
      <c r="F160" s="2"/>
      <c r="G160" s="3" t="s">
        <v>442</v>
      </c>
      <c r="J160" s="107"/>
    </row>
    <row r="161" spans="2:10" ht="15">
      <c r="B161" s="2"/>
      <c r="C161" s="2"/>
      <c r="D161" s="2" t="s">
        <v>62</v>
      </c>
      <c r="E161" s="279">
        <f>ROUND(((Input!$H$10*(Input!$H$12/100)*(1-Input!$H$15/100))),0)</f>
        <v>950</v>
      </c>
      <c r="F161" s="2"/>
      <c r="G161" s="2" t="s">
        <v>83</v>
      </c>
      <c r="J161" s="108"/>
    </row>
    <row r="162" spans="2:10" ht="15">
      <c r="B162" s="2"/>
      <c r="C162" s="2"/>
      <c r="D162" s="2" t="s">
        <v>62</v>
      </c>
      <c r="E162" s="278">
        <f>Input!H53</f>
        <v>130</v>
      </c>
      <c r="F162" s="2"/>
      <c r="G162" s="3" t="s">
        <v>443</v>
      </c>
      <c r="J162" s="108"/>
    </row>
    <row r="163" spans="2:10" ht="15">
      <c r="B163" s="2"/>
      <c r="C163" s="2"/>
      <c r="D163" s="2" t="s">
        <v>63</v>
      </c>
      <c r="E163" s="277">
        <v>2204.5855</v>
      </c>
      <c r="F163" s="2"/>
      <c r="G163" s="2" t="s">
        <v>239</v>
      </c>
      <c r="J163" s="108"/>
    </row>
    <row r="164" spans="2:10" ht="15">
      <c r="B164" s="2"/>
      <c r="C164" s="2"/>
      <c r="D164" s="21" t="s">
        <v>63</v>
      </c>
      <c r="E164" s="281">
        <f>Input!H10</f>
        <v>500</v>
      </c>
      <c r="F164" s="2"/>
      <c r="G164" s="2" t="s">
        <v>41</v>
      </c>
      <c r="J164" s="108"/>
    </row>
    <row r="165" spans="2:10" ht="15">
      <c r="B165" s="2"/>
      <c r="C165" s="2"/>
      <c r="D165" s="25" t="s">
        <v>64</v>
      </c>
      <c r="E165" s="278">
        <f>ROUND((((E159*E160*E161)*E162)/E163)/E164,2)</f>
        <v>2.8</v>
      </c>
      <c r="F165" s="2"/>
      <c r="G165" s="24" t="s">
        <v>38</v>
      </c>
      <c r="J165" s="108"/>
    </row>
    <row r="166" spans="2:6" ht="15">
      <c r="B166" s="2"/>
      <c r="C166" s="2"/>
      <c r="D166" s="3"/>
      <c r="E166" s="121"/>
      <c r="F166" s="2"/>
    </row>
    <row r="167" spans="2:10" ht="15">
      <c r="B167" s="3" t="s">
        <v>299</v>
      </c>
      <c r="C167" s="2"/>
      <c r="D167" s="3"/>
      <c r="E167" s="121">
        <f>Input!C55</f>
        <v>30</v>
      </c>
      <c r="F167" s="2"/>
      <c r="G167" s="2" t="s">
        <v>80</v>
      </c>
      <c r="J167" s="107"/>
    </row>
    <row r="168" spans="2:10" ht="15">
      <c r="B168" s="2"/>
      <c r="C168" s="2"/>
      <c r="D168" s="3"/>
      <c r="E168" s="121">
        <f>Input!G55</f>
        <v>1</v>
      </c>
      <c r="F168" s="2"/>
      <c r="G168" s="2" t="s">
        <v>297</v>
      </c>
      <c r="J168" s="107"/>
    </row>
    <row r="169" spans="2:10" ht="15">
      <c r="B169" s="2"/>
      <c r="C169" s="2"/>
      <c r="D169" s="2" t="s">
        <v>62</v>
      </c>
      <c r="E169" s="279">
        <f>ROUND(((Input!$H$10*(Input!$H$12/100)*(1-Input!$H$15/100))),0)</f>
        <v>950</v>
      </c>
      <c r="F169" s="2"/>
      <c r="G169" s="2" t="s">
        <v>83</v>
      </c>
      <c r="J169" s="108"/>
    </row>
    <row r="170" spans="2:10" ht="15">
      <c r="B170" s="2"/>
      <c r="C170" s="2"/>
      <c r="D170" s="2" t="s">
        <v>62</v>
      </c>
      <c r="E170" s="278">
        <f>Input!H55</f>
        <v>240</v>
      </c>
      <c r="F170" s="2"/>
      <c r="G170" s="24" t="s">
        <v>84</v>
      </c>
      <c r="J170" s="108"/>
    </row>
    <row r="171" spans="2:10" ht="15">
      <c r="B171" s="2"/>
      <c r="C171" s="2"/>
      <c r="D171" s="2" t="s">
        <v>63</v>
      </c>
      <c r="E171" s="277">
        <v>2204.5855</v>
      </c>
      <c r="F171" s="2"/>
      <c r="G171" s="2" t="s">
        <v>239</v>
      </c>
      <c r="J171" s="108"/>
    </row>
    <row r="172" spans="2:10" ht="15">
      <c r="B172" s="2"/>
      <c r="C172" s="2"/>
      <c r="D172" s="21" t="s">
        <v>63</v>
      </c>
      <c r="E172" s="281">
        <f>Input!H10</f>
        <v>500</v>
      </c>
      <c r="F172" s="2"/>
      <c r="G172" s="2" t="s">
        <v>41</v>
      </c>
      <c r="J172" s="108"/>
    </row>
    <row r="173" spans="2:10" ht="15">
      <c r="B173" s="2"/>
      <c r="C173" s="2"/>
      <c r="D173" s="25" t="s">
        <v>64</v>
      </c>
      <c r="E173" s="278">
        <f>ROUND((((E167*E168*E169)*E170)/E171)/E172,2)</f>
        <v>6.21</v>
      </c>
      <c r="F173" s="2"/>
      <c r="G173" s="24" t="s">
        <v>38</v>
      </c>
      <c r="J173" s="108"/>
    </row>
    <row r="174" spans="2:6" ht="15">
      <c r="B174" s="2"/>
      <c r="C174" s="2"/>
      <c r="D174" s="3"/>
      <c r="E174" s="121"/>
      <c r="F174" s="2"/>
    </row>
    <row r="175" spans="2:10" ht="15">
      <c r="B175" s="3" t="s">
        <v>301</v>
      </c>
      <c r="C175" s="2"/>
      <c r="D175" s="3"/>
      <c r="E175" s="121">
        <f>Input!C56</f>
        <v>30</v>
      </c>
      <c r="F175" s="2"/>
      <c r="G175" s="2" t="s">
        <v>80</v>
      </c>
      <c r="J175" s="107"/>
    </row>
    <row r="176" spans="2:10" ht="15">
      <c r="B176" s="2"/>
      <c r="C176" s="2"/>
      <c r="D176" s="3"/>
      <c r="E176" s="121">
        <f>Input!G56</f>
        <v>1</v>
      </c>
      <c r="F176" s="2"/>
      <c r="G176" s="3" t="s">
        <v>442</v>
      </c>
      <c r="J176" s="107"/>
    </row>
    <row r="177" spans="2:10" ht="15">
      <c r="B177" s="2"/>
      <c r="C177" s="2"/>
      <c r="D177" s="2" t="s">
        <v>62</v>
      </c>
      <c r="E177" s="279">
        <f>ROUND(((Input!$H$10*(Input!$H$12/100)*(1-Input!$H$15/100))),0)</f>
        <v>950</v>
      </c>
      <c r="F177" s="2"/>
      <c r="G177" s="2" t="s">
        <v>83</v>
      </c>
      <c r="J177" s="108"/>
    </row>
    <row r="178" spans="2:10" ht="15">
      <c r="B178" s="2"/>
      <c r="C178" s="2"/>
      <c r="D178" s="2" t="s">
        <v>62</v>
      </c>
      <c r="E178" s="278">
        <f>Input!H56</f>
        <v>130</v>
      </c>
      <c r="F178" s="2"/>
      <c r="G178" s="3" t="s">
        <v>443</v>
      </c>
      <c r="J178" s="108"/>
    </row>
    <row r="179" spans="2:10" ht="15">
      <c r="B179" s="2"/>
      <c r="C179" s="2"/>
      <c r="D179" s="2" t="s">
        <v>63</v>
      </c>
      <c r="E179" s="277">
        <v>2204.5855</v>
      </c>
      <c r="F179" s="2"/>
      <c r="G179" s="2" t="s">
        <v>239</v>
      </c>
      <c r="J179" s="108"/>
    </row>
    <row r="180" spans="2:10" ht="15">
      <c r="B180" s="2"/>
      <c r="C180" s="2"/>
      <c r="D180" s="21" t="s">
        <v>63</v>
      </c>
      <c r="E180" s="281">
        <f>Input!H10</f>
        <v>500</v>
      </c>
      <c r="F180" s="2"/>
      <c r="G180" s="2" t="s">
        <v>41</v>
      </c>
      <c r="J180" s="108"/>
    </row>
    <row r="181" spans="2:10" ht="15">
      <c r="B181" s="2"/>
      <c r="C181" s="2"/>
      <c r="D181" s="25" t="s">
        <v>64</v>
      </c>
      <c r="E181" s="278">
        <f>ROUND((((E175*E176*E177)*E178)/E179)/E180,2)</f>
        <v>3.36</v>
      </c>
      <c r="F181" s="2"/>
      <c r="G181" s="24" t="s">
        <v>38</v>
      </c>
      <c r="J181" s="108"/>
    </row>
    <row r="182" spans="2:10" ht="15">
      <c r="B182" s="2"/>
      <c r="C182" s="2"/>
      <c r="D182" s="25"/>
      <c r="E182" s="278"/>
      <c r="F182" s="2"/>
      <c r="G182" s="24"/>
      <c r="J182" s="110"/>
    </row>
    <row r="183" spans="2:10" ht="15">
      <c r="B183" s="3" t="s">
        <v>302</v>
      </c>
      <c r="C183" s="2"/>
      <c r="D183" s="3"/>
      <c r="E183" s="121">
        <f>Input!C58</f>
        <v>100</v>
      </c>
      <c r="F183" s="2"/>
      <c r="G183" s="2" t="s">
        <v>80</v>
      </c>
      <c r="J183" s="107"/>
    </row>
    <row r="184" spans="2:10" ht="15">
      <c r="B184" s="2"/>
      <c r="C184" s="2"/>
      <c r="D184" s="3"/>
      <c r="E184" s="121">
        <f>Input!G58</f>
        <v>2.5</v>
      </c>
      <c r="F184" s="2"/>
      <c r="G184" s="2" t="s">
        <v>297</v>
      </c>
      <c r="J184" s="107"/>
    </row>
    <row r="185" spans="2:10" ht="15">
      <c r="B185" s="2"/>
      <c r="C185" s="2"/>
      <c r="D185" s="2" t="s">
        <v>62</v>
      </c>
      <c r="E185" s="279">
        <f>Input!H17</f>
        <v>931</v>
      </c>
      <c r="F185" s="2"/>
      <c r="G185" s="2" t="s">
        <v>83</v>
      </c>
      <c r="J185" s="108"/>
    </row>
    <row r="186" spans="2:10" ht="15">
      <c r="B186" s="2"/>
      <c r="C186" s="2"/>
      <c r="D186" s="2" t="s">
        <v>62</v>
      </c>
      <c r="E186" s="278">
        <f>Input!H58</f>
        <v>200</v>
      </c>
      <c r="F186" s="2"/>
      <c r="G186" s="24" t="s">
        <v>84</v>
      </c>
      <c r="J186" s="108"/>
    </row>
    <row r="187" spans="2:10" ht="15">
      <c r="B187" s="2"/>
      <c r="C187" s="2"/>
      <c r="D187" s="2" t="s">
        <v>63</v>
      </c>
      <c r="E187" s="277">
        <v>2204.5855</v>
      </c>
      <c r="F187" s="2"/>
      <c r="G187" s="2" t="s">
        <v>239</v>
      </c>
      <c r="J187" s="108"/>
    </row>
    <row r="188" spans="2:10" ht="15">
      <c r="B188" s="2"/>
      <c r="C188" s="2"/>
      <c r="D188" s="21" t="s">
        <v>63</v>
      </c>
      <c r="E188" s="281">
        <f>Input!H10</f>
        <v>500</v>
      </c>
      <c r="F188" s="2"/>
      <c r="G188" s="2" t="s">
        <v>41</v>
      </c>
      <c r="J188" s="108"/>
    </row>
    <row r="189" spans="2:10" ht="15">
      <c r="B189" s="2"/>
      <c r="C189" s="2"/>
      <c r="D189" s="25" t="s">
        <v>64</v>
      </c>
      <c r="E189" s="278">
        <f>ROUND((((E183*E184*E185)*E186)/E187)/E188,2)</f>
        <v>42.23</v>
      </c>
      <c r="F189" s="2"/>
      <c r="G189" s="24" t="s">
        <v>38</v>
      </c>
      <c r="J189" s="108"/>
    </row>
    <row r="190" spans="2:6" ht="15">
      <c r="B190" s="2"/>
      <c r="C190" s="2"/>
      <c r="D190" s="3"/>
      <c r="E190" s="121"/>
      <c r="F190" s="2"/>
    </row>
    <row r="191" spans="2:10" ht="15">
      <c r="B191" s="3" t="s">
        <v>303</v>
      </c>
      <c r="C191" s="2"/>
      <c r="D191" s="3"/>
      <c r="E191" s="121">
        <f>Input!C59</f>
        <v>100</v>
      </c>
      <c r="F191" s="2"/>
      <c r="G191" s="2" t="s">
        <v>80</v>
      </c>
      <c r="J191" s="107"/>
    </row>
    <row r="192" spans="2:10" ht="15">
      <c r="B192" s="2"/>
      <c r="C192" s="2"/>
      <c r="D192" s="3"/>
      <c r="E192" s="121">
        <f>Input!G59</f>
        <v>1.5</v>
      </c>
      <c r="F192" s="2"/>
      <c r="G192" s="3" t="s">
        <v>244</v>
      </c>
      <c r="J192" s="107"/>
    </row>
    <row r="193" spans="2:10" ht="15">
      <c r="B193" s="2"/>
      <c r="C193" s="2"/>
      <c r="D193" s="2" t="s">
        <v>62</v>
      </c>
      <c r="E193" s="279">
        <f>Input!H17</f>
        <v>931</v>
      </c>
      <c r="F193" s="2"/>
      <c r="G193" s="2" t="s">
        <v>83</v>
      </c>
      <c r="J193" s="108"/>
    </row>
    <row r="194" spans="2:10" ht="15">
      <c r="B194" s="2"/>
      <c r="C194" s="2"/>
      <c r="D194" s="2" t="s">
        <v>62</v>
      </c>
      <c r="E194" s="278">
        <f>Input!H59</f>
        <v>130</v>
      </c>
      <c r="F194" s="2"/>
      <c r="G194" s="3" t="s">
        <v>240</v>
      </c>
      <c r="J194" s="108"/>
    </row>
    <row r="195" spans="2:10" ht="15">
      <c r="B195" s="2"/>
      <c r="C195" s="2"/>
      <c r="D195" s="2" t="s">
        <v>63</v>
      </c>
      <c r="E195" s="277">
        <v>2204.5855</v>
      </c>
      <c r="F195" s="2"/>
      <c r="G195" s="2" t="s">
        <v>239</v>
      </c>
      <c r="J195" s="108"/>
    </row>
    <row r="196" spans="2:10" ht="15">
      <c r="B196" s="2"/>
      <c r="C196" s="2"/>
      <c r="D196" s="21" t="s">
        <v>63</v>
      </c>
      <c r="E196" s="281">
        <f>Input!H10</f>
        <v>500</v>
      </c>
      <c r="F196" s="2"/>
      <c r="G196" s="2" t="s">
        <v>41</v>
      </c>
      <c r="J196" s="108"/>
    </row>
    <row r="197" spans="2:10" ht="15">
      <c r="B197" s="2"/>
      <c r="C197" s="2"/>
      <c r="D197" s="25" t="s">
        <v>64</v>
      </c>
      <c r="E197" s="278">
        <f>ROUND((((E191*E192*E193)*E194)/E195)/E196,2)</f>
        <v>16.47</v>
      </c>
      <c r="F197" s="2"/>
      <c r="G197" s="24" t="s">
        <v>38</v>
      </c>
      <c r="J197" s="108"/>
    </row>
    <row r="198" spans="2:10" ht="15">
      <c r="B198" s="2"/>
      <c r="C198" s="2"/>
      <c r="D198" s="25"/>
      <c r="E198" s="278"/>
      <c r="F198" s="2"/>
      <c r="G198" s="24"/>
      <c r="J198" s="110"/>
    </row>
    <row r="199" spans="2:10" ht="15.75">
      <c r="B199" s="20" t="s">
        <v>19</v>
      </c>
      <c r="C199" s="20"/>
      <c r="D199" s="20" t="s">
        <v>64</v>
      </c>
      <c r="E199" s="280">
        <f>E157+E165++E173+E181+E189+E197</f>
        <v>77.32</v>
      </c>
      <c r="F199" s="2"/>
      <c r="G199" s="1" t="s">
        <v>38</v>
      </c>
      <c r="J199" s="108"/>
    </row>
    <row r="200" spans="2:10" ht="15">
      <c r="B200" s="2"/>
      <c r="C200" s="2"/>
      <c r="D200" s="25"/>
      <c r="E200" s="278"/>
      <c r="F200" s="2"/>
      <c r="G200" s="24"/>
      <c r="J200" s="110"/>
    </row>
    <row r="201" spans="2:11" ht="15.75">
      <c r="B201" s="1" t="s">
        <v>3</v>
      </c>
      <c r="D201" s="2"/>
      <c r="E201" s="121"/>
      <c r="F201" s="2"/>
      <c r="K201" s="110"/>
    </row>
    <row r="202" spans="2:10" ht="15">
      <c r="B202" s="3" t="s">
        <v>103</v>
      </c>
      <c r="D202" s="2"/>
      <c r="E202" s="121">
        <f>Input!G63</f>
        <v>22</v>
      </c>
      <c r="F202" s="2"/>
      <c r="G202" s="3" t="s">
        <v>304</v>
      </c>
      <c r="J202" s="107"/>
    </row>
    <row r="203" spans="2:10" ht="15">
      <c r="B203" s="2"/>
      <c r="D203" s="21" t="s">
        <v>62</v>
      </c>
      <c r="E203" s="282">
        <f>Input!H63</f>
        <v>0.85</v>
      </c>
      <c r="F203" s="21"/>
      <c r="G203" s="23" t="s">
        <v>305</v>
      </c>
      <c r="J203" s="108"/>
    </row>
    <row r="204" spans="2:10" ht="15">
      <c r="B204" s="2"/>
      <c r="D204" s="25" t="s">
        <v>64</v>
      </c>
      <c r="E204" s="278">
        <f>ROUND(E202*E203,2)</f>
        <v>18.7</v>
      </c>
      <c r="F204" s="2"/>
      <c r="G204" s="3" t="s">
        <v>38</v>
      </c>
      <c r="J204" s="108"/>
    </row>
    <row r="205" spans="2:11" ht="15">
      <c r="B205" s="2"/>
      <c r="D205" s="25"/>
      <c r="E205" s="278"/>
      <c r="F205" s="2"/>
      <c r="G205" s="3"/>
      <c r="K205" s="110"/>
    </row>
    <row r="206" spans="2:10" ht="15">
      <c r="B206" s="3" t="s">
        <v>104</v>
      </c>
      <c r="D206" s="2"/>
      <c r="E206" s="121">
        <f>Input!G65</f>
        <v>6</v>
      </c>
      <c r="F206" s="2"/>
      <c r="G206" s="3" t="s">
        <v>306</v>
      </c>
      <c r="J206" s="107"/>
    </row>
    <row r="207" spans="2:10" ht="15">
      <c r="B207" s="2" t="s">
        <v>308</v>
      </c>
      <c r="D207" s="2" t="s">
        <v>62</v>
      </c>
      <c r="E207" s="278">
        <f>Input!H65</f>
        <v>0.55</v>
      </c>
      <c r="F207" s="2"/>
      <c r="G207" s="3" t="s">
        <v>305</v>
      </c>
      <c r="J207" s="108"/>
    </row>
    <row r="208" spans="2:10" ht="15">
      <c r="B208" s="2"/>
      <c r="D208" s="2" t="s">
        <v>62</v>
      </c>
      <c r="E208" s="279">
        <f>Input!H17</f>
        <v>931</v>
      </c>
      <c r="F208" s="2"/>
      <c r="G208" s="3" t="s">
        <v>85</v>
      </c>
      <c r="J208" s="108"/>
    </row>
    <row r="209" spans="2:10" ht="15">
      <c r="B209" s="2"/>
      <c r="D209" s="21" t="s">
        <v>63</v>
      </c>
      <c r="E209" s="281">
        <f>Input!H10</f>
        <v>500</v>
      </c>
      <c r="F209" s="21"/>
      <c r="G209" s="23" t="s">
        <v>41</v>
      </c>
      <c r="H209" s="109"/>
      <c r="J209" s="108"/>
    </row>
    <row r="210" spans="2:10" ht="15">
      <c r="B210" s="2"/>
      <c r="D210" s="25" t="s">
        <v>64</v>
      </c>
      <c r="E210" s="278">
        <f>ROUND(((E206*E207)*E208)/E209,2)</f>
        <v>6.14</v>
      </c>
      <c r="F210" s="2"/>
      <c r="G210" s="3" t="s">
        <v>38</v>
      </c>
      <c r="J210" s="108"/>
    </row>
    <row r="211" spans="2:11" ht="15">
      <c r="B211" s="2"/>
      <c r="D211" s="25"/>
      <c r="E211" s="278"/>
      <c r="F211" s="2"/>
      <c r="G211" s="3"/>
      <c r="K211" s="110"/>
    </row>
    <row r="212" spans="2:10" ht="15">
      <c r="B212" s="3" t="s">
        <v>105</v>
      </c>
      <c r="D212" s="2"/>
      <c r="E212" s="121">
        <f>Input!G64</f>
        <v>22</v>
      </c>
      <c r="F212" s="2"/>
      <c r="G212" s="3" t="s">
        <v>307</v>
      </c>
      <c r="J212" s="107"/>
    </row>
    <row r="213" spans="2:10" ht="15">
      <c r="B213" s="2"/>
      <c r="D213" s="2" t="s">
        <v>62</v>
      </c>
      <c r="E213" s="278">
        <f>Input!H64</f>
        <v>0.85</v>
      </c>
      <c r="F213" s="2"/>
      <c r="G213" s="3" t="s">
        <v>305</v>
      </c>
      <c r="J213" s="108"/>
    </row>
    <row r="214" spans="2:10" ht="15">
      <c r="B214" s="2"/>
      <c r="D214" s="2" t="s">
        <v>62</v>
      </c>
      <c r="E214" s="121">
        <f>Input!H11</f>
        <v>13</v>
      </c>
      <c r="F214" s="2"/>
      <c r="G214" s="3" t="s">
        <v>40</v>
      </c>
      <c r="J214" s="108"/>
    </row>
    <row r="215" spans="2:10" ht="15">
      <c r="B215" s="2"/>
      <c r="D215" s="21" t="s">
        <v>63</v>
      </c>
      <c r="E215" s="281">
        <f>Input!H10</f>
        <v>500</v>
      </c>
      <c r="F215" s="21"/>
      <c r="G215" s="23" t="s">
        <v>41</v>
      </c>
      <c r="J215" s="108"/>
    </row>
    <row r="216" spans="2:10" ht="15">
      <c r="B216" s="3"/>
      <c r="D216" s="25" t="s">
        <v>64</v>
      </c>
      <c r="E216" s="278">
        <f>ROUND(((E212*E213)*E214)/E215,2)</f>
        <v>0.49</v>
      </c>
      <c r="F216" s="2"/>
      <c r="G216" s="3" t="s">
        <v>38</v>
      </c>
      <c r="J216" s="108"/>
    </row>
    <row r="217" spans="2:10" ht="15">
      <c r="B217" s="3"/>
      <c r="D217" s="25"/>
      <c r="E217" s="278"/>
      <c r="F217" s="2"/>
      <c r="G217" s="3"/>
      <c r="J217" s="110"/>
    </row>
    <row r="218" spans="2:10" ht="15.75">
      <c r="B218" s="20" t="s">
        <v>90</v>
      </c>
      <c r="C218" s="20"/>
      <c r="D218" s="20" t="s">
        <v>64</v>
      </c>
      <c r="E218" s="280">
        <f>E204+E210+E216</f>
        <v>25.33</v>
      </c>
      <c r="F218" s="2"/>
      <c r="G218" s="1" t="s">
        <v>38</v>
      </c>
      <c r="J218" s="108"/>
    </row>
    <row r="219" spans="2:6" ht="15">
      <c r="B219" s="2"/>
      <c r="C219" s="2"/>
      <c r="D219" s="2"/>
      <c r="E219" s="121"/>
      <c r="F219" s="2"/>
    </row>
    <row r="220" spans="2:6" ht="15.75">
      <c r="B220" s="1" t="s">
        <v>35</v>
      </c>
      <c r="C220" s="2"/>
      <c r="D220" s="2"/>
      <c r="E220" s="283"/>
      <c r="F220" s="2"/>
    </row>
    <row r="221" spans="2:6" ht="15.75">
      <c r="B221" s="1" t="s">
        <v>6</v>
      </c>
      <c r="D221" s="2"/>
      <c r="E221" s="121"/>
      <c r="F221" s="2"/>
    </row>
    <row r="222" spans="2:11" ht="15">
      <c r="B222" s="3" t="s">
        <v>103</v>
      </c>
      <c r="D222" s="2"/>
      <c r="E222" s="121"/>
      <c r="F222" s="2"/>
      <c r="K222" s="110"/>
    </row>
    <row r="223" spans="3:10" ht="15">
      <c r="C223" s="2"/>
      <c r="E223" s="284">
        <f>Input!H69</f>
        <v>0.2</v>
      </c>
      <c r="F223" s="2"/>
      <c r="G223" s="3" t="s">
        <v>36</v>
      </c>
      <c r="J223" s="107"/>
    </row>
    <row r="224" spans="3:10" ht="15">
      <c r="C224" s="2"/>
      <c r="D224" s="21" t="s">
        <v>62</v>
      </c>
      <c r="E224" s="285">
        <f>Input!H72</f>
        <v>40</v>
      </c>
      <c r="F224" s="21"/>
      <c r="G224" s="23" t="s">
        <v>37</v>
      </c>
      <c r="J224" s="108"/>
    </row>
    <row r="225" spans="3:10" ht="15">
      <c r="C225" s="2"/>
      <c r="D225" s="25" t="s">
        <v>64</v>
      </c>
      <c r="E225" s="286">
        <f>ROUND(E223*E224,2)</f>
        <v>8</v>
      </c>
      <c r="F225" s="2"/>
      <c r="G225" s="3" t="s">
        <v>38</v>
      </c>
      <c r="J225" s="108"/>
    </row>
    <row r="226" spans="2:6" ht="15">
      <c r="B226" s="3" t="s">
        <v>104</v>
      </c>
      <c r="D226" s="2"/>
      <c r="E226" s="121"/>
      <c r="F226" s="2"/>
    </row>
    <row r="227" spans="3:10" ht="15">
      <c r="C227" s="2"/>
      <c r="E227" s="284">
        <f>Input!H70</f>
        <v>0.1</v>
      </c>
      <c r="F227" s="2"/>
      <c r="G227" s="3" t="s">
        <v>315</v>
      </c>
      <c r="J227" s="107"/>
    </row>
    <row r="228" spans="3:10" ht="15">
      <c r="C228" s="2"/>
      <c r="D228" s="104" t="s">
        <v>62</v>
      </c>
      <c r="E228" s="276">
        <f>Input!H72</f>
        <v>40</v>
      </c>
      <c r="F228" s="2"/>
      <c r="G228" s="3" t="s">
        <v>37</v>
      </c>
      <c r="J228" s="108"/>
    </row>
    <row r="229" spans="3:10" ht="15">
      <c r="C229" s="2"/>
      <c r="D229" s="104" t="s">
        <v>62</v>
      </c>
      <c r="E229" s="271">
        <f>Input!H17</f>
        <v>931</v>
      </c>
      <c r="F229" s="2"/>
      <c r="G229" s="3" t="s">
        <v>45</v>
      </c>
      <c r="J229" s="108"/>
    </row>
    <row r="230" spans="3:10" ht="15">
      <c r="C230" s="2"/>
      <c r="D230" s="21" t="s">
        <v>63</v>
      </c>
      <c r="E230" s="287">
        <f>Input!H10</f>
        <v>500</v>
      </c>
      <c r="F230" s="21"/>
      <c r="G230" s="23" t="s">
        <v>41</v>
      </c>
      <c r="J230" s="108"/>
    </row>
    <row r="231" spans="3:10" ht="15">
      <c r="C231" s="2"/>
      <c r="D231" s="25" t="s">
        <v>64</v>
      </c>
      <c r="E231" s="288">
        <f>ROUND(((E227*E228)*E229)/E230,2)</f>
        <v>7.45</v>
      </c>
      <c r="F231" s="2"/>
      <c r="G231" s="3" t="s">
        <v>38</v>
      </c>
      <c r="J231" s="108"/>
    </row>
    <row r="232" spans="2:11" ht="15">
      <c r="B232" s="3" t="s">
        <v>105</v>
      </c>
      <c r="D232" s="2"/>
      <c r="E232" s="121"/>
      <c r="F232" s="2"/>
      <c r="K232" s="110"/>
    </row>
    <row r="233" spans="3:10" ht="15">
      <c r="C233" s="2"/>
      <c r="E233" s="284">
        <f>Input!H71</f>
        <v>0.25</v>
      </c>
      <c r="F233" s="2"/>
      <c r="G233" s="3" t="s">
        <v>39</v>
      </c>
      <c r="J233" s="107"/>
    </row>
    <row r="234" spans="3:10" ht="15">
      <c r="C234" s="2"/>
      <c r="D234" s="104" t="s">
        <v>62</v>
      </c>
      <c r="E234" s="276">
        <f>Input!H72</f>
        <v>40</v>
      </c>
      <c r="F234" s="2"/>
      <c r="G234" s="3" t="s">
        <v>37</v>
      </c>
      <c r="J234" s="108"/>
    </row>
    <row r="235" spans="3:10" ht="15">
      <c r="C235" s="2"/>
      <c r="D235" s="104" t="s">
        <v>62</v>
      </c>
      <c r="E235" s="289">
        <f>Input!H11</f>
        <v>13</v>
      </c>
      <c r="F235" s="2"/>
      <c r="G235" s="3" t="s">
        <v>40</v>
      </c>
      <c r="J235" s="108"/>
    </row>
    <row r="236" spans="3:10" ht="15">
      <c r="C236" s="2"/>
      <c r="D236" s="21" t="s">
        <v>63</v>
      </c>
      <c r="E236" s="287">
        <f>Input!H10</f>
        <v>500</v>
      </c>
      <c r="F236" s="21"/>
      <c r="G236" s="23" t="s">
        <v>41</v>
      </c>
      <c r="J236" s="108"/>
    </row>
    <row r="237" spans="3:10" ht="15">
      <c r="C237" s="2"/>
      <c r="D237" s="25" t="s">
        <v>64</v>
      </c>
      <c r="E237" s="288">
        <f>ROUND(((E233*E234)*E235)/E236,2)</f>
        <v>0.26</v>
      </c>
      <c r="F237" s="2"/>
      <c r="G237" s="3" t="s">
        <v>38</v>
      </c>
      <c r="J237" s="108"/>
    </row>
    <row r="238" spans="3:10" ht="15">
      <c r="C238" s="2"/>
      <c r="D238" s="25"/>
      <c r="E238" s="288"/>
      <c r="F238" s="2"/>
      <c r="G238" s="3"/>
      <c r="J238" s="110"/>
    </row>
    <row r="239" spans="2:10" ht="15.75">
      <c r="B239" s="20" t="s">
        <v>90</v>
      </c>
      <c r="C239" s="20"/>
      <c r="D239" s="20" t="s">
        <v>64</v>
      </c>
      <c r="E239" s="280">
        <f>E225+E231+E237</f>
        <v>15.709999999999999</v>
      </c>
      <c r="F239" s="2"/>
      <c r="G239" s="1" t="s">
        <v>38</v>
      </c>
      <c r="J239" s="107"/>
    </row>
    <row r="240" spans="3:7" ht="15">
      <c r="C240" s="2"/>
      <c r="E240" s="288"/>
      <c r="F240" s="2"/>
      <c r="G240" s="3"/>
    </row>
    <row r="241" spans="2:6" ht="15.75">
      <c r="B241" s="1" t="s">
        <v>86</v>
      </c>
      <c r="C241" s="2"/>
      <c r="D241" s="1"/>
      <c r="E241" s="121"/>
      <c r="F241" s="2"/>
    </row>
    <row r="242" spans="2:11" ht="15">
      <c r="B242" s="3" t="s">
        <v>106</v>
      </c>
      <c r="D242" s="2"/>
      <c r="E242" s="121"/>
      <c r="F242" s="2"/>
      <c r="K242" s="110"/>
    </row>
    <row r="243" spans="3:10" ht="15">
      <c r="C243" s="2"/>
      <c r="E243" s="288">
        <f>Input!H77</f>
        <v>0.58</v>
      </c>
      <c r="F243" s="2"/>
      <c r="G243" s="3" t="s">
        <v>88</v>
      </c>
      <c r="J243" s="107"/>
    </row>
    <row r="244" spans="3:10" ht="15">
      <c r="C244" s="2"/>
      <c r="D244" s="24" t="s">
        <v>87</v>
      </c>
      <c r="E244" s="288">
        <f>Input!H78</f>
        <v>0.53</v>
      </c>
      <c r="F244" s="2"/>
      <c r="G244" s="3" t="s">
        <v>42</v>
      </c>
      <c r="J244" s="108"/>
    </row>
    <row r="245" spans="3:10" ht="15">
      <c r="C245" s="2"/>
      <c r="D245" s="24" t="s">
        <v>87</v>
      </c>
      <c r="E245" s="288">
        <f>Input!H79</f>
        <v>0.3</v>
      </c>
      <c r="F245" s="2"/>
      <c r="G245" s="2" t="s">
        <v>222</v>
      </c>
      <c r="J245" s="108"/>
    </row>
    <row r="246" spans="3:10" ht="15">
      <c r="C246" s="2"/>
      <c r="D246" s="24" t="s">
        <v>87</v>
      </c>
      <c r="E246" s="288">
        <f>Input!H80</f>
        <v>4.5</v>
      </c>
      <c r="F246" s="2"/>
      <c r="G246" s="24" t="s">
        <v>309</v>
      </c>
      <c r="J246" s="108"/>
    </row>
    <row r="247" spans="3:10" ht="15">
      <c r="C247" s="2"/>
      <c r="D247" s="28" t="s">
        <v>87</v>
      </c>
      <c r="E247" s="290">
        <f>Input!H81</f>
        <v>0.5</v>
      </c>
      <c r="F247" s="2"/>
      <c r="G247" s="3" t="s">
        <v>43</v>
      </c>
      <c r="J247" s="108"/>
    </row>
    <row r="248" spans="3:10" ht="15">
      <c r="C248" s="2"/>
      <c r="D248" s="24" t="s">
        <v>64</v>
      </c>
      <c r="E248" s="288">
        <f>SUM(E243:E247)</f>
        <v>6.41</v>
      </c>
      <c r="F248" s="2"/>
      <c r="G248" s="3" t="s">
        <v>44</v>
      </c>
      <c r="J248" s="108"/>
    </row>
    <row r="249" spans="3:10" ht="15">
      <c r="C249" s="2"/>
      <c r="D249" s="24" t="s">
        <v>62</v>
      </c>
      <c r="E249" s="271">
        <f>Input!H17</f>
        <v>931</v>
      </c>
      <c r="F249" s="2"/>
      <c r="G249" s="3" t="s">
        <v>45</v>
      </c>
      <c r="J249" s="108"/>
    </row>
    <row r="250" spans="3:10" ht="15">
      <c r="C250" s="2"/>
      <c r="D250" s="21" t="s">
        <v>63</v>
      </c>
      <c r="E250" s="287">
        <f>Input!H10</f>
        <v>500</v>
      </c>
      <c r="F250" s="21"/>
      <c r="G250" s="23" t="s">
        <v>41</v>
      </c>
      <c r="J250" s="108"/>
    </row>
    <row r="251" spans="3:10" ht="15">
      <c r="C251" s="2"/>
      <c r="D251" s="24" t="s">
        <v>64</v>
      </c>
      <c r="E251" s="288">
        <f>ROUND((E248*E249)/E250,2)</f>
        <v>11.94</v>
      </c>
      <c r="F251" s="2"/>
      <c r="G251" s="3" t="s">
        <v>38</v>
      </c>
      <c r="J251" s="108"/>
    </row>
    <row r="252" spans="3:7" ht="15">
      <c r="C252" s="2"/>
      <c r="D252" s="24"/>
      <c r="E252" s="288"/>
      <c r="F252" s="2"/>
      <c r="G252" s="3"/>
    </row>
    <row r="253" spans="2:11" ht="15">
      <c r="B253" s="3" t="s">
        <v>311</v>
      </c>
      <c r="D253" s="2"/>
      <c r="E253" s="121"/>
      <c r="F253" s="2"/>
      <c r="K253" s="110"/>
    </row>
    <row r="254" spans="3:10" ht="15">
      <c r="C254" s="2"/>
      <c r="E254" s="288">
        <f>Input!H83</f>
        <v>0.29</v>
      </c>
      <c r="F254" s="2"/>
      <c r="G254" s="3" t="s">
        <v>255</v>
      </c>
      <c r="J254" s="107"/>
    </row>
    <row r="255" spans="3:10" ht="15">
      <c r="C255" s="2"/>
      <c r="D255" s="24" t="s">
        <v>87</v>
      </c>
      <c r="E255" s="288">
        <f>Input!H84</f>
        <v>0.26</v>
      </c>
      <c r="F255" s="2"/>
      <c r="G255" s="3" t="s">
        <v>310</v>
      </c>
      <c r="J255" s="107"/>
    </row>
    <row r="256" spans="3:10" ht="15">
      <c r="C256" s="2"/>
      <c r="D256" s="24" t="s">
        <v>87</v>
      </c>
      <c r="E256" s="288">
        <f>Input!H85</f>
        <v>1.06</v>
      </c>
      <c r="F256" s="2"/>
      <c r="G256" s="3" t="s">
        <v>139</v>
      </c>
      <c r="J256" s="108"/>
    </row>
    <row r="257" spans="3:10" ht="15">
      <c r="C257" s="2"/>
      <c r="D257" s="24" t="s">
        <v>87</v>
      </c>
      <c r="E257" s="288">
        <f>Input!H86</f>
        <v>0.6</v>
      </c>
      <c r="F257" s="2"/>
      <c r="G257" s="3" t="s">
        <v>221</v>
      </c>
      <c r="J257" s="108"/>
    </row>
    <row r="258" spans="3:10" ht="15">
      <c r="C258" s="2"/>
      <c r="D258" s="28" t="s">
        <v>87</v>
      </c>
      <c r="E258" s="290">
        <f>Input!H87</f>
        <v>0.5</v>
      </c>
      <c r="F258" s="21"/>
      <c r="G258" s="23" t="s">
        <v>256</v>
      </c>
      <c r="H258" s="109"/>
      <c r="I258" s="109"/>
      <c r="J258" s="108"/>
    </row>
    <row r="259" spans="3:10" ht="15">
      <c r="C259" s="2"/>
      <c r="D259" s="24" t="s">
        <v>64</v>
      </c>
      <c r="E259" s="288">
        <f>SUM(E254:E258)</f>
        <v>2.71</v>
      </c>
      <c r="F259" s="2"/>
      <c r="G259" s="3" t="s">
        <v>38</v>
      </c>
      <c r="J259" s="108"/>
    </row>
    <row r="260" spans="2:10" ht="15.75">
      <c r="B260" s="1"/>
      <c r="C260" s="2"/>
      <c r="D260" s="24"/>
      <c r="E260" s="278"/>
      <c r="F260" s="2"/>
      <c r="G260" s="3"/>
      <c r="J260" s="110"/>
    </row>
    <row r="261" spans="2:11" ht="15">
      <c r="B261" s="3" t="s">
        <v>312</v>
      </c>
      <c r="D261" s="2"/>
      <c r="E261" s="121"/>
      <c r="F261" s="2"/>
      <c r="K261" s="110"/>
    </row>
    <row r="262" spans="3:10" ht="15">
      <c r="C262" s="2"/>
      <c r="E262" s="288">
        <f>Input!H89</f>
        <v>0.29</v>
      </c>
      <c r="F262" s="2"/>
      <c r="G262" s="3" t="s">
        <v>255</v>
      </c>
      <c r="J262" s="107"/>
    </row>
    <row r="263" spans="3:10" ht="15">
      <c r="C263" s="2"/>
      <c r="D263" s="24" t="s">
        <v>87</v>
      </c>
      <c r="E263" s="288">
        <f>Input!H90</f>
        <v>0.26</v>
      </c>
      <c r="F263" s="2"/>
      <c r="G263" s="3" t="s">
        <v>310</v>
      </c>
      <c r="J263" s="107"/>
    </row>
    <row r="264" spans="3:10" ht="15">
      <c r="C264" s="2"/>
      <c r="D264" s="24" t="s">
        <v>87</v>
      </c>
      <c r="E264" s="288">
        <f>Input!H91</f>
        <v>1.06</v>
      </c>
      <c r="F264" s="2"/>
      <c r="G264" s="3" t="s">
        <v>139</v>
      </c>
      <c r="J264" s="108"/>
    </row>
    <row r="265" spans="3:10" ht="15">
      <c r="C265" s="2"/>
      <c r="D265" s="24" t="s">
        <v>87</v>
      </c>
      <c r="E265" s="288">
        <f>Input!H92</f>
        <v>0.6</v>
      </c>
      <c r="F265" s="2"/>
      <c r="G265" s="3" t="s">
        <v>221</v>
      </c>
      <c r="J265" s="108"/>
    </row>
    <row r="266" spans="3:10" ht="15">
      <c r="C266" s="2"/>
      <c r="D266" s="28" t="s">
        <v>87</v>
      </c>
      <c r="E266" s="288">
        <f>Input!H93</f>
        <v>0.5</v>
      </c>
      <c r="F266" s="21"/>
      <c r="G266" s="23" t="s">
        <v>256</v>
      </c>
      <c r="H266" s="109"/>
      <c r="I266" s="109"/>
      <c r="J266" s="108"/>
    </row>
    <row r="267" spans="3:10" ht="15">
      <c r="C267" s="2"/>
      <c r="D267" s="24" t="s">
        <v>64</v>
      </c>
      <c r="E267" s="288">
        <f>SUM(E262:E266)</f>
        <v>2.71</v>
      </c>
      <c r="F267" s="2"/>
      <c r="G267" s="3" t="s">
        <v>81</v>
      </c>
      <c r="J267" s="108"/>
    </row>
    <row r="268" spans="3:10" ht="15">
      <c r="C268" s="2"/>
      <c r="D268" s="21" t="s">
        <v>62</v>
      </c>
      <c r="E268" s="291">
        <f>Input!H11</f>
        <v>13</v>
      </c>
      <c r="F268" s="21"/>
      <c r="G268" s="23" t="s">
        <v>40</v>
      </c>
      <c r="H268" s="109"/>
      <c r="J268" s="108"/>
    </row>
    <row r="269" spans="3:10" ht="15">
      <c r="C269" s="2"/>
      <c r="D269" s="24" t="s">
        <v>64</v>
      </c>
      <c r="E269" s="286">
        <f>ROUND(E267*E268,2)</f>
        <v>35.23</v>
      </c>
      <c r="F269" s="2"/>
      <c r="G269" s="2" t="s">
        <v>89</v>
      </c>
      <c r="J269" s="108"/>
    </row>
    <row r="270" spans="3:10" ht="15">
      <c r="C270" s="2"/>
      <c r="D270" s="21" t="s">
        <v>63</v>
      </c>
      <c r="E270" s="287">
        <f>Input!H10</f>
        <v>500</v>
      </c>
      <c r="F270" s="21"/>
      <c r="G270" s="23" t="s">
        <v>41</v>
      </c>
      <c r="H270" s="109"/>
      <c r="J270" s="108"/>
    </row>
    <row r="271" spans="3:10" ht="15">
      <c r="C271" s="2"/>
      <c r="D271" s="24" t="s">
        <v>64</v>
      </c>
      <c r="E271" s="286">
        <f>ROUND(E269/E270,2)</f>
        <v>0.07</v>
      </c>
      <c r="F271" s="2"/>
      <c r="G271" s="3" t="s">
        <v>38</v>
      </c>
      <c r="J271" s="108"/>
    </row>
    <row r="272" spans="3:11" ht="15">
      <c r="C272" s="2"/>
      <c r="D272" s="2"/>
      <c r="E272" s="121"/>
      <c r="F272" s="2"/>
      <c r="G272" s="3"/>
      <c r="K272" s="110"/>
    </row>
    <row r="273" spans="2:10" ht="15.75">
      <c r="B273" s="1" t="s">
        <v>90</v>
      </c>
      <c r="C273" s="2"/>
      <c r="D273" s="32" t="s">
        <v>64</v>
      </c>
      <c r="E273" s="280">
        <f>E271+E259+E251</f>
        <v>14.719999999999999</v>
      </c>
      <c r="F273" s="20"/>
      <c r="G273" s="1" t="s">
        <v>38</v>
      </c>
      <c r="J273" s="107"/>
    </row>
    <row r="274" spans="2:6" ht="15">
      <c r="B274" s="3"/>
      <c r="C274" s="2"/>
      <c r="D274" s="2"/>
      <c r="E274" s="121"/>
      <c r="F274" s="2"/>
    </row>
    <row r="275" spans="2:11" ht="15.75">
      <c r="B275" s="1" t="s">
        <v>480</v>
      </c>
      <c r="C275" s="2"/>
      <c r="D275" s="2"/>
      <c r="E275" s="121"/>
      <c r="F275" s="2"/>
      <c r="K275" s="110"/>
    </row>
    <row r="276" spans="1:10" s="77" customFormat="1" ht="15" customHeight="1">
      <c r="A276" s="122"/>
      <c r="C276" s="324" t="s">
        <v>458</v>
      </c>
      <c r="D276" s="324"/>
      <c r="E276" s="324"/>
      <c r="F276" s="324"/>
      <c r="G276" s="324"/>
      <c r="H276" s="324"/>
      <c r="I276" s="324"/>
      <c r="J276" s="79"/>
    </row>
    <row r="277" spans="1:10" s="77" customFormat="1" ht="15" customHeight="1">
      <c r="A277" s="122"/>
      <c r="C277" s="324"/>
      <c r="D277" s="324"/>
      <c r="E277" s="324">
        <f>Input!H105</f>
        <v>120</v>
      </c>
      <c r="F277" s="324"/>
      <c r="G277" s="324" t="s">
        <v>459</v>
      </c>
      <c r="I277" s="324"/>
      <c r="J277" s="79"/>
    </row>
    <row r="278" spans="1:10" s="77" customFormat="1" ht="15" customHeight="1">
      <c r="A278" s="122"/>
      <c r="C278" s="324"/>
      <c r="D278" s="333" t="s">
        <v>63</v>
      </c>
      <c r="E278" s="334">
        <v>2.5</v>
      </c>
      <c r="F278" s="324"/>
      <c r="G278" s="324" t="s">
        <v>460</v>
      </c>
      <c r="I278" s="324"/>
      <c r="J278" s="79"/>
    </row>
    <row r="279" spans="1:10" s="77" customFormat="1" ht="15" customHeight="1">
      <c r="A279" s="122"/>
      <c r="C279" s="324"/>
      <c r="D279" s="324" t="s">
        <v>62</v>
      </c>
      <c r="E279" s="335">
        <v>0.1665576</v>
      </c>
      <c r="F279" s="324"/>
      <c r="G279" s="324" t="s">
        <v>461</v>
      </c>
      <c r="I279" s="324"/>
      <c r="J279" s="79"/>
    </row>
    <row r="280" spans="1:10" s="77" customFormat="1" ht="15" customHeight="1">
      <c r="A280" s="122"/>
      <c r="C280" s="324"/>
      <c r="D280" s="324" t="s">
        <v>62</v>
      </c>
      <c r="E280" s="334">
        <f>Input!H106</f>
        <v>1</v>
      </c>
      <c r="F280" s="324"/>
      <c r="G280" s="324" t="s">
        <v>462</v>
      </c>
      <c r="I280" s="324"/>
      <c r="J280" s="79"/>
    </row>
    <row r="281" spans="1:10" s="77" customFormat="1" ht="15" customHeight="1">
      <c r="A281" s="122"/>
      <c r="C281" s="324"/>
      <c r="D281" s="324" t="s">
        <v>62</v>
      </c>
      <c r="E281" s="336">
        <f>Input!H103</f>
        <v>1.1</v>
      </c>
      <c r="F281" s="324"/>
      <c r="G281" s="324" t="s">
        <v>463</v>
      </c>
      <c r="I281" s="324"/>
      <c r="J281" s="79"/>
    </row>
    <row r="282" spans="1:10" s="77" customFormat="1" ht="15" customHeight="1">
      <c r="A282" s="122"/>
      <c r="C282" s="324"/>
      <c r="D282" s="326" t="s">
        <v>62</v>
      </c>
      <c r="E282" s="337">
        <f>Input!C30+Input!C33+Input!C36+Input!C40</f>
        <v>235</v>
      </c>
      <c r="F282" s="324"/>
      <c r="G282" s="324" t="s">
        <v>464</v>
      </c>
      <c r="I282" s="324"/>
      <c r="J282" s="79"/>
    </row>
    <row r="283" spans="1:10" s="77" customFormat="1" ht="15" customHeight="1">
      <c r="A283" s="122"/>
      <c r="C283" s="324"/>
      <c r="D283" s="324"/>
      <c r="E283" s="336">
        <f>IF(E282="ERROR","ERROR",ROUND(((E277/E278)*E279*E280*E281*E282),2))</f>
        <v>2066.65</v>
      </c>
      <c r="F283" s="324"/>
      <c r="G283" s="324" t="s">
        <v>465</v>
      </c>
      <c r="I283" s="324"/>
      <c r="J283" s="79"/>
    </row>
    <row r="284" spans="1:10" s="77" customFormat="1" ht="15" customHeight="1">
      <c r="A284" s="122"/>
      <c r="C284" s="324"/>
      <c r="D284" s="338" t="s">
        <v>63</v>
      </c>
      <c r="E284" s="339">
        <f>Input!H10</f>
        <v>500</v>
      </c>
      <c r="F284" s="338"/>
      <c r="G284" s="338" t="s">
        <v>41</v>
      </c>
      <c r="I284" s="324"/>
      <c r="J284" s="79"/>
    </row>
    <row r="285" spans="1:10" s="77" customFormat="1" ht="15" customHeight="1">
      <c r="A285" s="122"/>
      <c r="C285" s="324"/>
      <c r="D285" s="324" t="s">
        <v>64</v>
      </c>
      <c r="E285" s="276">
        <f>IF(E282="ERROR","ERROR",SUM(E283/E284))</f>
        <v>4.1333</v>
      </c>
      <c r="F285" s="324"/>
      <c r="G285" s="3" t="s">
        <v>38</v>
      </c>
      <c r="I285" s="324"/>
      <c r="J285" s="79"/>
    </row>
    <row r="286" spans="1:10" s="77" customFormat="1" ht="15" customHeight="1">
      <c r="A286" s="122"/>
      <c r="C286" s="324" t="s">
        <v>466</v>
      </c>
      <c r="D286" s="324"/>
      <c r="E286" s="324"/>
      <c r="F286" s="336"/>
      <c r="G286" s="324"/>
      <c r="H286" s="324"/>
      <c r="I286" s="324"/>
      <c r="J286" s="324"/>
    </row>
    <row r="287" spans="1:10" s="77" customFormat="1" ht="15" customHeight="1">
      <c r="A287" s="122"/>
      <c r="C287" s="324"/>
      <c r="D287" s="324"/>
      <c r="E287" s="340">
        <f>Input!H174</f>
        <v>59000</v>
      </c>
      <c r="F287" s="324"/>
      <c r="G287" s="324" t="s">
        <v>467</v>
      </c>
      <c r="I287" s="324"/>
      <c r="J287" s="79"/>
    </row>
    <row r="288" spans="1:10" s="77" customFormat="1" ht="15" customHeight="1">
      <c r="A288" s="122"/>
      <c r="C288" s="324"/>
      <c r="D288" s="326" t="s">
        <v>62</v>
      </c>
      <c r="E288" s="341">
        <f>Input!H107</f>
        <v>1.5</v>
      </c>
      <c r="F288" s="324"/>
      <c r="G288" s="324" t="s">
        <v>468</v>
      </c>
      <c r="I288" s="324"/>
      <c r="J288" s="79"/>
    </row>
    <row r="289" spans="1:10" s="77" customFormat="1" ht="15" customHeight="1">
      <c r="A289" s="122"/>
      <c r="C289" s="324"/>
      <c r="D289" s="324" t="s">
        <v>64</v>
      </c>
      <c r="E289" s="336">
        <f>SUM(E287*(E288/100))</f>
        <v>885</v>
      </c>
      <c r="F289" s="324"/>
      <c r="G289" s="324" t="s">
        <v>469</v>
      </c>
      <c r="I289" s="324"/>
      <c r="J289" s="79"/>
    </row>
    <row r="290" spans="1:10" s="77" customFormat="1" ht="15" customHeight="1">
      <c r="A290" s="122"/>
      <c r="C290" s="324"/>
      <c r="D290" s="338" t="s">
        <v>63</v>
      </c>
      <c r="E290" s="339">
        <f>Input!H10</f>
        <v>500</v>
      </c>
      <c r="F290" s="338"/>
      <c r="G290" s="338" t="s">
        <v>41</v>
      </c>
      <c r="I290" s="324"/>
      <c r="J290" s="79"/>
    </row>
    <row r="291" spans="1:10" s="77" customFormat="1" ht="15" customHeight="1">
      <c r="A291" s="122"/>
      <c r="C291" s="324"/>
      <c r="D291" s="324" t="s">
        <v>64</v>
      </c>
      <c r="E291" s="276">
        <f>SUM(E289/E290)</f>
        <v>1.77</v>
      </c>
      <c r="F291" s="324"/>
      <c r="G291" s="3" t="s">
        <v>38</v>
      </c>
      <c r="I291" s="324"/>
      <c r="J291" s="79"/>
    </row>
    <row r="292" spans="1:10" s="77" customFormat="1" ht="15" customHeight="1">
      <c r="A292" s="122"/>
      <c r="C292" s="324" t="s">
        <v>470</v>
      </c>
      <c r="D292" s="324"/>
      <c r="E292" s="324"/>
      <c r="F292" s="336"/>
      <c r="G292" s="324"/>
      <c r="H292" s="324"/>
      <c r="I292" s="324"/>
      <c r="J292" s="324"/>
    </row>
    <row r="293" spans="1:10" s="77" customFormat="1" ht="15" customHeight="1">
      <c r="A293" s="122"/>
      <c r="C293" s="324"/>
      <c r="D293" s="324"/>
      <c r="E293" s="340">
        <f>Input!H168+Input!H187</f>
        <v>174260</v>
      </c>
      <c r="F293" s="324"/>
      <c r="G293" s="324" t="s">
        <v>471</v>
      </c>
      <c r="I293" s="324"/>
      <c r="J293" s="79"/>
    </row>
    <row r="294" spans="1:10" s="77" customFormat="1" ht="15" customHeight="1">
      <c r="A294" s="122"/>
      <c r="C294" s="324"/>
      <c r="D294" s="326" t="s">
        <v>62</v>
      </c>
      <c r="E294" s="341">
        <f>Input!H108</f>
        <v>1</v>
      </c>
      <c r="F294" s="324"/>
      <c r="G294" s="324" t="s">
        <v>468</v>
      </c>
      <c r="I294" s="324"/>
      <c r="J294" s="79"/>
    </row>
    <row r="295" spans="1:10" s="77" customFormat="1" ht="15" customHeight="1">
      <c r="A295" s="122"/>
      <c r="C295" s="324"/>
      <c r="D295" s="324" t="s">
        <v>64</v>
      </c>
      <c r="E295" s="336">
        <f>SUM(E293*(E294/100))</f>
        <v>1742.6000000000001</v>
      </c>
      <c r="F295" s="324"/>
      <c r="G295" s="324" t="s">
        <v>472</v>
      </c>
      <c r="I295" s="324"/>
      <c r="J295" s="79"/>
    </row>
    <row r="296" spans="1:10" s="77" customFormat="1" ht="15" customHeight="1">
      <c r="A296" s="122"/>
      <c r="C296" s="324"/>
      <c r="D296" s="338" t="s">
        <v>63</v>
      </c>
      <c r="E296" s="339">
        <f>Input!H10</f>
        <v>500</v>
      </c>
      <c r="F296" s="338"/>
      <c r="G296" s="338" t="s">
        <v>41</v>
      </c>
      <c r="I296" s="324"/>
      <c r="J296" s="79"/>
    </row>
    <row r="297" spans="1:10" s="77" customFormat="1" ht="15" customHeight="1">
      <c r="A297" s="122"/>
      <c r="C297" s="324"/>
      <c r="D297" s="324" t="s">
        <v>64</v>
      </c>
      <c r="E297" s="276">
        <f>SUM(E295/E296)</f>
        <v>3.4852000000000003</v>
      </c>
      <c r="F297" s="324"/>
      <c r="G297" s="3" t="s">
        <v>38</v>
      </c>
      <c r="I297" s="324"/>
      <c r="J297" s="79"/>
    </row>
    <row r="298" spans="1:10" s="77" customFormat="1" ht="15" customHeight="1">
      <c r="A298" s="122"/>
      <c r="B298" s="76"/>
      <c r="C298" s="342" t="s">
        <v>19</v>
      </c>
      <c r="D298" s="342" t="s">
        <v>64</v>
      </c>
      <c r="E298" s="137">
        <f>SUM(E297++E291+E285)</f>
        <v>9.3885</v>
      </c>
      <c r="F298" s="342"/>
      <c r="G298" s="1" t="s">
        <v>38</v>
      </c>
      <c r="I298" s="342"/>
      <c r="J298" s="79"/>
    </row>
    <row r="299" spans="2:6" ht="15.75">
      <c r="B299" s="1"/>
      <c r="D299" s="2"/>
      <c r="E299" s="121"/>
      <c r="F299" s="2"/>
    </row>
    <row r="300" spans="2:11" ht="15.75">
      <c r="B300" s="1" t="s">
        <v>7</v>
      </c>
      <c r="D300" s="2"/>
      <c r="E300" s="121"/>
      <c r="F300" s="2"/>
      <c r="K300" s="110"/>
    </row>
    <row r="301" spans="2:10" ht="15">
      <c r="B301" s="2"/>
      <c r="D301" s="2"/>
      <c r="E301" s="278">
        <f>SUM(Input!E111*Input!H111)*Input!H10</f>
        <v>614.7</v>
      </c>
      <c r="F301" s="2"/>
      <c r="G301" s="3" t="s">
        <v>211</v>
      </c>
      <c r="J301" s="107"/>
    </row>
    <row r="302" spans="2:10" ht="15">
      <c r="B302" s="2"/>
      <c r="D302" s="24" t="s">
        <v>87</v>
      </c>
      <c r="E302" s="292">
        <f>Input!H112</f>
        <v>0</v>
      </c>
      <c r="F302" s="2"/>
      <c r="G302" s="3" t="s">
        <v>212</v>
      </c>
      <c r="J302" s="108"/>
    </row>
    <row r="303" spans="2:10" ht="15">
      <c r="B303" s="2"/>
      <c r="D303" s="24" t="s">
        <v>87</v>
      </c>
      <c r="E303" s="292">
        <f>Input!H113</f>
        <v>600</v>
      </c>
      <c r="F303" s="2"/>
      <c r="G303" s="3" t="s">
        <v>213</v>
      </c>
      <c r="J303" s="108"/>
    </row>
    <row r="304" spans="2:10" ht="15">
      <c r="B304" s="2"/>
      <c r="D304" s="24" t="s">
        <v>64</v>
      </c>
      <c r="E304" s="292">
        <f>E301+E302+E303</f>
        <v>1214.7</v>
      </c>
      <c r="F304" s="2"/>
      <c r="G304" s="3"/>
      <c r="J304" s="108"/>
    </row>
    <row r="305" spans="3:10" ht="15">
      <c r="C305" s="2"/>
      <c r="D305" s="21" t="s">
        <v>63</v>
      </c>
      <c r="E305" s="281">
        <f>Input!H10</f>
        <v>500</v>
      </c>
      <c r="F305" s="21"/>
      <c r="G305" s="23" t="s">
        <v>41</v>
      </c>
      <c r="J305" s="108"/>
    </row>
    <row r="306" spans="3:10" ht="15.75">
      <c r="C306" s="2"/>
      <c r="D306" s="32" t="s">
        <v>64</v>
      </c>
      <c r="E306" s="280">
        <f>ROUND(E304/E305,2)</f>
        <v>2.43</v>
      </c>
      <c r="F306" s="20"/>
      <c r="G306" s="1" t="s">
        <v>38</v>
      </c>
      <c r="J306" s="108"/>
    </row>
    <row r="307" spans="2:6" ht="15">
      <c r="B307" s="2"/>
      <c r="C307" s="2"/>
      <c r="D307" s="2"/>
      <c r="E307" s="121"/>
      <c r="F307" s="2"/>
    </row>
    <row r="308" spans="2:6" ht="15.75">
      <c r="B308" s="1" t="s">
        <v>8</v>
      </c>
      <c r="D308" s="2"/>
      <c r="E308" s="121"/>
      <c r="F308" s="2"/>
    </row>
    <row r="309" spans="2:10" ht="15">
      <c r="B309" s="2" t="s">
        <v>123</v>
      </c>
      <c r="C309" s="2"/>
      <c r="D309" s="2"/>
      <c r="E309" s="278">
        <f>Input!H126</f>
        <v>225</v>
      </c>
      <c r="F309" s="2"/>
      <c r="G309" s="3" t="s">
        <v>38</v>
      </c>
      <c r="J309" s="107"/>
    </row>
    <row r="310" spans="2:10" ht="15">
      <c r="B310" s="2"/>
      <c r="D310" s="21" t="s">
        <v>62</v>
      </c>
      <c r="E310" s="281">
        <f>Input!H13</f>
        <v>3</v>
      </c>
      <c r="F310" s="21"/>
      <c r="G310" s="23" t="s">
        <v>93</v>
      </c>
      <c r="H310" s="109"/>
      <c r="J310" s="110"/>
    </row>
    <row r="311" spans="3:10" ht="15">
      <c r="C311" s="2"/>
      <c r="D311" s="24" t="s">
        <v>64</v>
      </c>
      <c r="E311" s="278">
        <f>ROUND(E309*E310/100,2)</f>
        <v>6.75</v>
      </c>
      <c r="F311" s="2"/>
      <c r="G311" s="3" t="s">
        <v>38</v>
      </c>
      <c r="J311" s="108"/>
    </row>
    <row r="312" spans="3:11" ht="15">
      <c r="C312" s="2"/>
      <c r="D312" s="2"/>
      <c r="E312" s="121"/>
      <c r="F312" s="2"/>
      <c r="G312" s="3"/>
      <c r="K312" s="110"/>
    </row>
    <row r="313" spans="2:10" ht="15">
      <c r="B313" s="2" t="s">
        <v>126</v>
      </c>
      <c r="C313" s="2"/>
      <c r="D313" s="2"/>
      <c r="E313" s="294">
        <f>Input!H129</f>
        <v>500</v>
      </c>
      <c r="F313" s="2"/>
      <c r="G313" s="25" t="s">
        <v>81</v>
      </c>
      <c r="J313" s="107"/>
    </row>
    <row r="314" spans="3:10" ht="15">
      <c r="C314" s="2"/>
      <c r="D314" s="2" t="s">
        <v>62</v>
      </c>
      <c r="E314" s="121">
        <f>Input!H13</f>
        <v>3</v>
      </c>
      <c r="F314" s="2"/>
      <c r="G314" s="3" t="s">
        <v>93</v>
      </c>
      <c r="J314" s="108"/>
    </row>
    <row r="315" spans="3:10" ht="15">
      <c r="C315" s="2"/>
      <c r="D315" s="21" t="s">
        <v>63</v>
      </c>
      <c r="E315" s="295">
        <f>ROUND(Input!H10/Input!H11,0)</f>
        <v>38</v>
      </c>
      <c r="F315" s="21"/>
      <c r="G315" s="23" t="s">
        <v>316</v>
      </c>
      <c r="H315" s="109"/>
      <c r="J315" s="108"/>
    </row>
    <row r="316" spans="3:10" ht="15">
      <c r="C316" s="2"/>
      <c r="D316" s="24" t="s">
        <v>64</v>
      </c>
      <c r="E316" s="296">
        <f>(E313*(E314/100))/E315</f>
        <v>0.39473684210526316</v>
      </c>
      <c r="F316" s="2"/>
      <c r="G316" s="3" t="s">
        <v>38</v>
      </c>
      <c r="J316" s="108"/>
    </row>
    <row r="317" spans="3:11" ht="15">
      <c r="C317" s="2"/>
      <c r="D317" s="2"/>
      <c r="E317" s="121"/>
      <c r="F317" s="2"/>
      <c r="G317" s="3"/>
      <c r="K317" s="110"/>
    </row>
    <row r="318" spans="2:10" ht="15.75">
      <c r="B318" s="20" t="s">
        <v>19</v>
      </c>
      <c r="C318" s="20"/>
      <c r="D318" s="32" t="s">
        <v>64</v>
      </c>
      <c r="E318" s="280">
        <f>E311+E316</f>
        <v>7.144736842105263</v>
      </c>
      <c r="F318" s="20"/>
      <c r="G318" s="1" t="s">
        <v>38</v>
      </c>
      <c r="H318" s="111"/>
      <c r="J318" s="107"/>
    </row>
    <row r="319" spans="3:7" ht="15">
      <c r="C319" s="2"/>
      <c r="D319" s="2"/>
      <c r="E319" s="121"/>
      <c r="F319" s="2"/>
      <c r="G319" s="3"/>
    </row>
    <row r="320" spans="2:6" ht="15.75">
      <c r="B320" s="1" t="s">
        <v>264</v>
      </c>
      <c r="D320" s="2"/>
      <c r="E320" s="121"/>
      <c r="F320" s="2"/>
    </row>
    <row r="321" spans="2:11" ht="15">
      <c r="B321" s="3" t="s">
        <v>96</v>
      </c>
      <c r="D321" s="2"/>
      <c r="E321" s="121"/>
      <c r="F321" s="2"/>
      <c r="K321" s="110"/>
    </row>
    <row r="322" spans="2:10" ht="15">
      <c r="B322" s="2"/>
      <c r="D322" s="2"/>
      <c r="E322" s="292">
        <f>Input!H175</f>
        <v>222700</v>
      </c>
      <c r="F322" s="2"/>
      <c r="G322" s="3" t="s">
        <v>94</v>
      </c>
      <c r="J322" s="107"/>
    </row>
    <row r="323" spans="2:10" ht="15">
      <c r="B323" s="2"/>
      <c r="D323" s="2" t="s">
        <v>62</v>
      </c>
      <c r="E323" s="278">
        <f>Input!H146</f>
        <v>0.4</v>
      </c>
      <c r="F323" s="2"/>
      <c r="G323" s="3" t="s">
        <v>95</v>
      </c>
      <c r="J323" s="108"/>
    </row>
    <row r="324" spans="2:10" ht="15">
      <c r="B324" s="2"/>
      <c r="D324" s="2" t="s">
        <v>63</v>
      </c>
      <c r="E324" s="121">
        <v>100</v>
      </c>
      <c r="F324" s="2"/>
      <c r="G324" s="8">
        <v>100</v>
      </c>
      <c r="J324" s="108"/>
    </row>
    <row r="325" spans="3:10" ht="15">
      <c r="C325" s="2"/>
      <c r="D325" s="21" t="s">
        <v>63</v>
      </c>
      <c r="E325" s="281">
        <f>Input!H10</f>
        <v>500</v>
      </c>
      <c r="F325" s="21"/>
      <c r="G325" s="23" t="s">
        <v>41</v>
      </c>
      <c r="J325" s="108"/>
    </row>
    <row r="326" spans="3:10" ht="15">
      <c r="C326" s="2"/>
      <c r="D326" s="24" t="s">
        <v>64</v>
      </c>
      <c r="E326" s="278">
        <f>ROUND(((E322*E323)/E324)/E325,2)</f>
        <v>1.78</v>
      </c>
      <c r="F326" s="2"/>
      <c r="G326" s="3" t="s">
        <v>38</v>
      </c>
      <c r="J326" s="108"/>
    </row>
    <row r="327" spans="2:11" ht="15">
      <c r="B327" s="3" t="s">
        <v>97</v>
      </c>
      <c r="C327" s="2"/>
      <c r="D327" s="2"/>
      <c r="E327" s="121"/>
      <c r="F327" s="2"/>
      <c r="K327" s="110"/>
    </row>
    <row r="328" spans="3:10" ht="15">
      <c r="C328" s="2"/>
      <c r="D328" s="2"/>
      <c r="E328" s="292">
        <f>Input!H179</f>
        <v>119000</v>
      </c>
      <c r="F328" s="2"/>
      <c r="G328" s="3" t="s">
        <v>98</v>
      </c>
      <c r="J328" s="107"/>
    </row>
    <row r="329" spans="3:10" ht="15">
      <c r="C329" s="2"/>
      <c r="D329" s="2" t="s">
        <v>62</v>
      </c>
      <c r="E329" s="278">
        <f>Input!H145</f>
        <v>0.45</v>
      </c>
      <c r="F329" s="2"/>
      <c r="G329" s="3" t="s">
        <v>95</v>
      </c>
      <c r="J329" s="108"/>
    </row>
    <row r="330" spans="3:10" ht="15">
      <c r="C330" s="2"/>
      <c r="D330" s="2" t="s">
        <v>63</v>
      </c>
      <c r="E330" s="121">
        <v>100</v>
      </c>
      <c r="F330" s="2"/>
      <c r="G330" s="8">
        <v>100</v>
      </c>
      <c r="J330" s="108"/>
    </row>
    <row r="331" spans="3:10" ht="15">
      <c r="C331" s="2"/>
      <c r="D331" s="21" t="s">
        <v>63</v>
      </c>
      <c r="E331" s="281">
        <f>Input!H10</f>
        <v>500</v>
      </c>
      <c r="F331" s="2"/>
      <c r="G331" s="3" t="s">
        <v>41</v>
      </c>
      <c r="J331" s="108"/>
    </row>
    <row r="332" spans="3:10" ht="15">
      <c r="C332" s="2"/>
      <c r="D332" s="24" t="s">
        <v>64</v>
      </c>
      <c r="E332" s="278">
        <f>ROUND(((E328*E329)/E330)/E331,2)</f>
        <v>1.07</v>
      </c>
      <c r="F332" s="2"/>
      <c r="G332" s="3" t="s">
        <v>38</v>
      </c>
      <c r="J332" s="108"/>
    </row>
    <row r="333" spans="2:11" ht="15">
      <c r="B333" s="3" t="s">
        <v>99</v>
      </c>
      <c r="C333" s="2"/>
      <c r="D333" s="2"/>
      <c r="E333" s="121"/>
      <c r="F333" s="2"/>
      <c r="K333" s="110"/>
    </row>
    <row r="334" spans="3:10" ht="15">
      <c r="C334" s="2"/>
      <c r="D334" s="2"/>
      <c r="E334" s="278">
        <f>Input!H147</f>
        <v>49</v>
      </c>
      <c r="F334" s="2"/>
      <c r="G334" s="3" t="s">
        <v>100</v>
      </c>
      <c r="J334" s="107"/>
    </row>
    <row r="335" spans="3:10" ht="15">
      <c r="C335" s="2"/>
      <c r="D335" s="21" t="s">
        <v>63</v>
      </c>
      <c r="E335" s="281">
        <f>Input!$H$10</f>
        <v>500</v>
      </c>
      <c r="F335" s="21"/>
      <c r="G335" s="23" t="s">
        <v>41</v>
      </c>
      <c r="J335" s="108"/>
    </row>
    <row r="336" spans="3:10" ht="15">
      <c r="C336" s="2"/>
      <c r="D336" s="24" t="s">
        <v>64</v>
      </c>
      <c r="E336" s="278">
        <f>ROUND(E334/E335,2)</f>
        <v>0.1</v>
      </c>
      <c r="F336" s="2"/>
      <c r="G336" s="3" t="s">
        <v>38</v>
      </c>
      <c r="J336" s="108"/>
    </row>
    <row r="337" spans="3:11" ht="15">
      <c r="C337" s="2"/>
      <c r="D337" s="24"/>
      <c r="E337" s="278"/>
      <c r="F337" s="2"/>
      <c r="G337" s="3"/>
      <c r="K337" s="110"/>
    </row>
    <row r="338" spans="2:10" ht="15.75">
      <c r="B338" s="1" t="s">
        <v>19</v>
      </c>
      <c r="C338" s="2"/>
      <c r="D338" s="32" t="s">
        <v>64</v>
      </c>
      <c r="E338" s="280">
        <f>E326+E332+E336</f>
        <v>2.95</v>
      </c>
      <c r="F338" s="20"/>
      <c r="G338" s="1" t="s">
        <v>38</v>
      </c>
      <c r="J338" s="107"/>
    </row>
    <row r="339" spans="2:6" ht="15.75">
      <c r="B339" s="1"/>
      <c r="C339" s="2"/>
      <c r="D339" s="2"/>
      <c r="E339" s="121"/>
      <c r="F339" s="2"/>
    </row>
    <row r="340" spans="2:6" ht="15.75">
      <c r="B340" s="1" t="s">
        <v>265</v>
      </c>
      <c r="C340" s="2"/>
      <c r="D340" s="2"/>
      <c r="E340" s="121"/>
      <c r="F340" s="2"/>
    </row>
    <row r="341" spans="2:11" ht="15">
      <c r="B341" s="3" t="s">
        <v>101</v>
      </c>
      <c r="C341" s="2"/>
      <c r="D341" s="2"/>
      <c r="E341" s="121"/>
      <c r="F341" s="2"/>
      <c r="K341" s="110"/>
    </row>
    <row r="342" spans="3:10" ht="15">
      <c r="C342" s="2"/>
      <c r="D342" s="2"/>
      <c r="E342" s="121">
        <f>Input!$H$10</f>
        <v>500</v>
      </c>
      <c r="F342" s="2"/>
      <c r="G342" s="3" t="s">
        <v>41</v>
      </c>
      <c r="J342" s="107"/>
    </row>
    <row r="343" spans="3:10" ht="15">
      <c r="C343" s="2"/>
      <c r="D343" s="21" t="s">
        <v>62</v>
      </c>
      <c r="E343" s="281">
        <f>Input!H125</f>
        <v>0.15</v>
      </c>
      <c r="F343" s="21"/>
      <c r="G343" s="23" t="s">
        <v>107</v>
      </c>
      <c r="H343" s="109"/>
      <c r="J343" s="108"/>
    </row>
    <row r="344" spans="3:10" ht="15">
      <c r="C344" s="2"/>
      <c r="D344" s="24" t="s">
        <v>64</v>
      </c>
      <c r="E344" s="279">
        <f>ROUND(E342*E343,0)</f>
        <v>75</v>
      </c>
      <c r="F344" s="2"/>
      <c r="G344" s="3" t="s">
        <v>111</v>
      </c>
      <c r="J344" s="108"/>
    </row>
    <row r="345" spans="3:11" ht="15">
      <c r="C345" s="2"/>
      <c r="D345" s="2"/>
      <c r="E345" s="121"/>
      <c r="F345" s="2"/>
      <c r="G345" s="3"/>
      <c r="K345" s="110"/>
    </row>
    <row r="346" spans="3:10" ht="15">
      <c r="C346" s="2"/>
      <c r="D346" s="2"/>
      <c r="E346" s="292">
        <f>Input!H126</f>
        <v>225</v>
      </c>
      <c r="F346" s="2"/>
      <c r="G346" s="3" t="s">
        <v>108</v>
      </c>
      <c r="J346" s="107"/>
    </row>
    <row r="347" spans="3:10" ht="15">
      <c r="C347" s="2"/>
      <c r="D347" s="24" t="s">
        <v>110</v>
      </c>
      <c r="E347" s="292">
        <f>Input!H127</f>
        <v>153</v>
      </c>
      <c r="F347" s="2"/>
      <c r="G347" s="3" t="s">
        <v>109</v>
      </c>
      <c r="J347" s="108"/>
    </row>
    <row r="348" spans="3:10" ht="15">
      <c r="C348" s="2"/>
      <c r="D348" s="2" t="s">
        <v>62</v>
      </c>
      <c r="E348" s="279">
        <f>E344</f>
        <v>75</v>
      </c>
      <c r="F348" s="2"/>
      <c r="G348" s="3" t="s">
        <v>111</v>
      </c>
      <c r="J348" s="108"/>
    </row>
    <row r="349" spans="3:10" ht="15">
      <c r="C349" s="2"/>
      <c r="D349" s="21" t="s">
        <v>63</v>
      </c>
      <c r="E349" s="281">
        <f>Input!$H$10</f>
        <v>500</v>
      </c>
      <c r="F349" s="21"/>
      <c r="G349" s="23" t="s">
        <v>41</v>
      </c>
      <c r="J349" s="108"/>
    </row>
    <row r="350" spans="3:10" ht="15">
      <c r="C350" s="2"/>
      <c r="D350" s="24" t="s">
        <v>64</v>
      </c>
      <c r="E350" s="278">
        <f>ROUND(((E346-E347)*E348)/E349,2)</f>
        <v>10.8</v>
      </c>
      <c r="F350" s="2"/>
      <c r="G350" s="3" t="s">
        <v>38</v>
      </c>
      <c r="J350" s="108"/>
    </row>
    <row r="351" spans="3:7" ht="15">
      <c r="C351" s="2"/>
      <c r="D351" s="2"/>
      <c r="E351" s="278"/>
      <c r="F351" s="2"/>
      <c r="G351" s="3"/>
    </row>
    <row r="352" spans="2:11" ht="15">
      <c r="B352" s="3" t="s">
        <v>102</v>
      </c>
      <c r="C352" s="2"/>
      <c r="D352" s="2"/>
      <c r="E352" s="121"/>
      <c r="F352" s="2"/>
      <c r="K352" s="110"/>
    </row>
    <row r="353" spans="3:10" ht="15">
      <c r="C353" s="2"/>
      <c r="D353" s="2"/>
      <c r="E353" s="121">
        <f>Input!H11</f>
        <v>13</v>
      </c>
      <c r="F353" s="2"/>
      <c r="G353" s="3" t="s">
        <v>40</v>
      </c>
      <c r="J353" s="107"/>
    </row>
    <row r="354" spans="3:10" ht="15">
      <c r="C354" s="2"/>
      <c r="D354" s="2" t="s">
        <v>62</v>
      </c>
      <c r="E354" s="281">
        <f>Input!H128</f>
        <v>0.25</v>
      </c>
      <c r="F354" s="2"/>
      <c r="G354" s="23" t="s">
        <v>107</v>
      </c>
      <c r="J354" s="108"/>
    </row>
    <row r="355" spans="3:10" ht="15">
      <c r="C355" s="2"/>
      <c r="D355" s="24" t="s">
        <v>64</v>
      </c>
      <c r="E355" s="121">
        <f>ROUND(E353*E354,0)</f>
        <v>3</v>
      </c>
      <c r="F355" s="2"/>
      <c r="G355" s="3" t="s">
        <v>112</v>
      </c>
      <c r="J355" s="108"/>
    </row>
    <row r="356" spans="3:11" ht="15">
      <c r="C356" s="2"/>
      <c r="D356" s="2"/>
      <c r="E356" s="121"/>
      <c r="F356" s="2"/>
      <c r="G356" s="3"/>
      <c r="K356" s="110"/>
    </row>
    <row r="357" spans="3:10" ht="15">
      <c r="C357" s="2"/>
      <c r="D357" s="2"/>
      <c r="E357" s="292">
        <f>Input!H129</f>
        <v>500</v>
      </c>
      <c r="F357" s="2"/>
      <c r="G357" s="3" t="s">
        <v>113</v>
      </c>
      <c r="J357" s="107"/>
    </row>
    <row r="358" spans="3:10" ht="15">
      <c r="C358" s="2"/>
      <c r="D358" s="24" t="s">
        <v>110</v>
      </c>
      <c r="E358" s="292">
        <f>Input!H130</f>
        <v>180</v>
      </c>
      <c r="F358" s="2"/>
      <c r="G358" s="3" t="s">
        <v>114</v>
      </c>
      <c r="J358" s="108"/>
    </row>
    <row r="359" spans="3:10" ht="15">
      <c r="C359" s="2"/>
      <c r="D359" s="2" t="s">
        <v>62</v>
      </c>
      <c r="E359" s="121">
        <f>E355</f>
        <v>3</v>
      </c>
      <c r="F359" s="2"/>
      <c r="G359" s="3" t="s">
        <v>112</v>
      </c>
      <c r="J359" s="108"/>
    </row>
    <row r="360" spans="3:10" ht="15">
      <c r="C360" s="2"/>
      <c r="D360" s="21" t="s">
        <v>63</v>
      </c>
      <c r="E360" s="281">
        <f>Input!$H$10</f>
        <v>500</v>
      </c>
      <c r="F360" s="21"/>
      <c r="G360" s="23" t="s">
        <v>41</v>
      </c>
      <c r="J360" s="108"/>
    </row>
    <row r="361" spans="3:10" ht="15">
      <c r="C361" s="2"/>
      <c r="D361" s="24" t="s">
        <v>64</v>
      </c>
      <c r="E361" s="278">
        <f>ROUND(((E357-E358)*E359)/E360,2)</f>
        <v>1.92</v>
      </c>
      <c r="F361" s="2"/>
      <c r="G361" s="3" t="s">
        <v>38</v>
      </c>
      <c r="J361" s="108"/>
    </row>
    <row r="362" spans="2:11" ht="15">
      <c r="B362" s="2"/>
      <c r="C362" s="2"/>
      <c r="D362" s="2"/>
      <c r="E362" s="121"/>
      <c r="F362" s="2"/>
      <c r="K362" s="110"/>
    </row>
    <row r="363" spans="2:10" ht="15.75">
      <c r="B363" s="20" t="s">
        <v>19</v>
      </c>
      <c r="C363" s="2"/>
      <c r="D363" s="32" t="s">
        <v>64</v>
      </c>
      <c r="E363" s="280">
        <f>E350+E361</f>
        <v>12.72</v>
      </c>
      <c r="F363" s="20"/>
      <c r="G363" s="1" t="s">
        <v>38</v>
      </c>
      <c r="J363" s="107"/>
    </row>
    <row r="364" spans="2:6" ht="15">
      <c r="B364" s="2"/>
      <c r="C364" s="2"/>
      <c r="D364" s="2"/>
      <c r="E364" s="121"/>
      <c r="F364" s="2"/>
    </row>
    <row r="365" spans="2:11" ht="15.75">
      <c r="B365" s="1" t="s">
        <v>266</v>
      </c>
      <c r="C365" s="2"/>
      <c r="D365" s="2"/>
      <c r="E365" s="121"/>
      <c r="F365" s="2"/>
      <c r="K365" s="110"/>
    </row>
    <row r="366" spans="2:10" ht="15">
      <c r="B366" s="2" t="s">
        <v>318</v>
      </c>
      <c r="C366" s="2"/>
      <c r="D366" s="2"/>
      <c r="E366" s="278">
        <f>Input!H116</f>
        <v>6.25</v>
      </c>
      <c r="F366" s="2"/>
      <c r="G366" s="2" t="s">
        <v>317</v>
      </c>
      <c r="J366" s="107"/>
    </row>
    <row r="367" spans="2:10" ht="15">
      <c r="B367" s="2"/>
      <c r="C367" s="2"/>
      <c r="D367" s="2" t="s">
        <v>62</v>
      </c>
      <c r="E367" s="297">
        <f>Input!H18</f>
        <v>1.86</v>
      </c>
      <c r="F367" s="2"/>
      <c r="G367" s="2" t="s">
        <v>226</v>
      </c>
      <c r="J367" s="108"/>
    </row>
    <row r="368" spans="2:10" ht="15">
      <c r="B368" s="2"/>
      <c r="C368" s="2"/>
      <c r="D368" s="24" t="s">
        <v>64</v>
      </c>
      <c r="E368" s="278">
        <f>ROUND((E366*E367),2)</f>
        <v>11.63</v>
      </c>
      <c r="F368" s="2"/>
      <c r="G368" s="3" t="s">
        <v>38</v>
      </c>
      <c r="J368" s="108"/>
    </row>
    <row r="369" spans="2:10" ht="15.75">
      <c r="B369" s="2"/>
      <c r="C369" s="2"/>
      <c r="D369" s="32"/>
      <c r="E369" s="280"/>
      <c r="F369" s="20"/>
      <c r="G369" s="1"/>
      <c r="J369" s="110"/>
    </row>
    <row r="370" spans="2:10" ht="15.75">
      <c r="B370" s="2" t="s">
        <v>319</v>
      </c>
      <c r="C370" s="2"/>
      <c r="D370" s="32"/>
      <c r="E370" s="278">
        <f>Input!H121</f>
        <v>6.5</v>
      </c>
      <c r="F370" s="20"/>
      <c r="G370" s="3" t="s">
        <v>320</v>
      </c>
      <c r="J370" s="107"/>
    </row>
    <row r="371" spans="2:10" ht="15.75">
      <c r="B371" s="2"/>
      <c r="C371" s="2"/>
      <c r="D371" s="2" t="s">
        <v>62</v>
      </c>
      <c r="E371" s="298">
        <f>Input!H18</f>
        <v>1.86</v>
      </c>
      <c r="F371" s="20"/>
      <c r="G371" s="3" t="s">
        <v>226</v>
      </c>
      <c r="J371" s="107"/>
    </row>
    <row r="372" spans="2:10" ht="15">
      <c r="B372" s="2"/>
      <c r="C372" s="2"/>
      <c r="D372" s="24" t="s">
        <v>64</v>
      </c>
      <c r="E372" s="299">
        <f>E370*E371</f>
        <v>12.09</v>
      </c>
      <c r="F372" s="2"/>
      <c r="G372" s="25" t="s">
        <v>38</v>
      </c>
      <c r="J372" s="107"/>
    </row>
    <row r="373" spans="2:7" ht="15">
      <c r="B373" s="2"/>
      <c r="C373" s="2"/>
      <c r="D373" s="2"/>
      <c r="E373" s="299"/>
      <c r="F373" s="2"/>
      <c r="G373" s="25"/>
    </row>
    <row r="374" spans="2:10" ht="15.75">
      <c r="B374" s="1" t="s">
        <v>19</v>
      </c>
      <c r="C374" s="2"/>
      <c r="D374" s="32" t="s">
        <v>64</v>
      </c>
      <c r="E374" s="280">
        <f>E368+E372</f>
        <v>23.72</v>
      </c>
      <c r="F374" s="20"/>
      <c r="G374" s="1" t="s">
        <v>38</v>
      </c>
      <c r="J374" s="107"/>
    </row>
    <row r="375" spans="2:7" ht="15">
      <c r="B375" s="2"/>
      <c r="C375" s="2"/>
      <c r="D375" s="2"/>
      <c r="E375" s="299"/>
      <c r="F375" s="2"/>
      <c r="G375" s="25"/>
    </row>
    <row r="376" spans="2:11" ht="15.75">
      <c r="B376" s="1" t="s">
        <v>267</v>
      </c>
      <c r="C376" s="2"/>
      <c r="D376" s="2"/>
      <c r="E376" s="121"/>
      <c r="F376" s="2"/>
      <c r="K376" s="110"/>
    </row>
    <row r="377" spans="2:10" ht="15">
      <c r="B377" s="2"/>
      <c r="C377" s="2"/>
      <c r="D377" s="2"/>
      <c r="E377" s="278">
        <f>Input!H152</f>
        <v>10</v>
      </c>
      <c r="G377" s="2" t="s">
        <v>228</v>
      </c>
      <c r="J377" s="107"/>
    </row>
    <row r="378" spans="2:10" ht="15">
      <c r="B378" s="2"/>
      <c r="C378" s="2"/>
      <c r="D378" s="2" t="s">
        <v>63</v>
      </c>
      <c r="E378" s="299">
        <f>Input!H10/Input!H11</f>
        <v>38.46153846153846</v>
      </c>
      <c r="F378" s="2"/>
      <c r="G378" s="2" t="s">
        <v>316</v>
      </c>
      <c r="J378" s="108"/>
    </row>
    <row r="379" spans="2:10" ht="15">
      <c r="B379" s="2"/>
      <c r="C379" s="2"/>
      <c r="D379" s="28" t="s">
        <v>87</v>
      </c>
      <c r="E379" s="282">
        <f>Input!H151</f>
        <v>5</v>
      </c>
      <c r="F379" s="21"/>
      <c r="G379" s="21" t="s">
        <v>227</v>
      </c>
      <c r="J379" s="108"/>
    </row>
    <row r="380" spans="2:10" ht="15.75">
      <c r="B380" s="2"/>
      <c r="C380" s="2"/>
      <c r="D380" s="32" t="s">
        <v>64</v>
      </c>
      <c r="E380" s="280">
        <f>(E377/E378)+E379</f>
        <v>5.26</v>
      </c>
      <c r="F380" s="20"/>
      <c r="G380" s="1" t="s">
        <v>38</v>
      </c>
      <c r="J380" s="108"/>
    </row>
    <row r="381" spans="2:6" ht="15">
      <c r="B381" s="2"/>
      <c r="C381" s="2"/>
      <c r="D381" s="2"/>
      <c r="E381" s="121"/>
      <c r="F381" s="2"/>
    </row>
    <row r="382" spans="2:11" ht="15.75">
      <c r="B382" s="1" t="s">
        <v>268</v>
      </c>
      <c r="C382" s="2"/>
      <c r="D382" s="2"/>
      <c r="E382" s="121"/>
      <c r="F382" s="2"/>
      <c r="K382" s="110"/>
    </row>
    <row r="383" spans="2:10" ht="15">
      <c r="B383" s="2"/>
      <c r="C383" s="2"/>
      <c r="D383" s="2"/>
      <c r="E383" s="292">
        <f>Input!H133</f>
        <v>750</v>
      </c>
      <c r="F383" s="2"/>
      <c r="G383" s="2" t="s">
        <v>321</v>
      </c>
      <c r="J383" s="107"/>
    </row>
    <row r="384" spans="2:10" ht="15">
      <c r="B384" s="2"/>
      <c r="C384" s="2"/>
      <c r="D384" s="24" t="s">
        <v>87</v>
      </c>
      <c r="E384" s="292">
        <f>Input!H134*2</f>
        <v>700</v>
      </c>
      <c r="F384" s="2"/>
      <c r="G384" s="2" t="s">
        <v>322</v>
      </c>
      <c r="J384" s="108"/>
    </row>
    <row r="385" spans="2:10" ht="15">
      <c r="B385" s="2"/>
      <c r="C385" s="2"/>
      <c r="D385" s="2" t="s">
        <v>63</v>
      </c>
      <c r="E385" s="121">
        <f>Input!H135</f>
        <v>4</v>
      </c>
      <c r="F385" s="2"/>
      <c r="G385" s="2" t="s">
        <v>229</v>
      </c>
      <c r="J385" s="108"/>
    </row>
    <row r="386" spans="2:10" ht="15">
      <c r="B386" s="2"/>
      <c r="C386" s="2"/>
      <c r="D386" s="24" t="s">
        <v>87</v>
      </c>
      <c r="E386" s="292">
        <f>Input!H136</f>
        <v>500</v>
      </c>
      <c r="F386" s="2"/>
      <c r="G386" s="2" t="s">
        <v>230</v>
      </c>
      <c r="J386" s="108"/>
    </row>
    <row r="387" spans="2:10" ht="15">
      <c r="B387" s="2"/>
      <c r="C387" s="2"/>
      <c r="D387" s="21" t="s">
        <v>63</v>
      </c>
      <c r="E387" s="281">
        <f>Input!H10</f>
        <v>500</v>
      </c>
      <c r="F387" s="21"/>
      <c r="G387" s="21" t="s">
        <v>41</v>
      </c>
      <c r="H387" s="109"/>
      <c r="J387" s="108"/>
    </row>
    <row r="388" spans="2:10" ht="15.75">
      <c r="B388" s="2"/>
      <c r="C388" s="2"/>
      <c r="D388" s="32" t="s">
        <v>64</v>
      </c>
      <c r="E388" s="280">
        <f>(((E383+E384)/E385)+E386)/E387</f>
        <v>1.725</v>
      </c>
      <c r="F388" s="2"/>
      <c r="G388" s="1" t="s">
        <v>38</v>
      </c>
      <c r="J388" s="108"/>
    </row>
    <row r="389" spans="2:6" ht="15">
      <c r="B389" s="2"/>
      <c r="C389" s="2"/>
      <c r="D389" s="2"/>
      <c r="E389" s="121"/>
      <c r="F389" s="2"/>
    </row>
    <row r="390" spans="2:6" ht="15.75">
      <c r="B390" s="1" t="s">
        <v>325</v>
      </c>
      <c r="C390" s="2"/>
      <c r="D390" s="2"/>
      <c r="E390" s="121"/>
      <c r="F390" s="2"/>
    </row>
    <row r="391" spans="2:17" ht="15.75">
      <c r="B391" s="2" t="s">
        <v>335</v>
      </c>
      <c r="C391" s="2"/>
      <c r="D391" s="2"/>
      <c r="E391" s="292">
        <f>Input!H96</f>
        <v>2</v>
      </c>
      <c r="F391" s="2"/>
      <c r="G391" s="2" t="s">
        <v>333</v>
      </c>
      <c r="J391" s="107"/>
      <c r="L391" s="41"/>
      <c r="M391" s="41"/>
      <c r="N391" s="2"/>
      <c r="O391" s="2"/>
      <c r="P391" s="2"/>
      <c r="Q391" s="56"/>
    </row>
    <row r="392" spans="2:17" ht="15.75">
      <c r="B392" s="2"/>
      <c r="C392" s="2"/>
      <c r="D392" s="2" t="s">
        <v>62</v>
      </c>
      <c r="E392" s="293">
        <f>Input!H97</f>
        <v>141</v>
      </c>
      <c r="F392" s="21"/>
      <c r="G392" s="21" t="s">
        <v>334</v>
      </c>
      <c r="J392" s="108"/>
      <c r="L392" s="2"/>
      <c r="M392" s="2"/>
      <c r="N392" s="2"/>
      <c r="O392" s="2"/>
      <c r="P392" s="2"/>
      <c r="Q392" s="65"/>
    </row>
    <row r="393" spans="2:17" ht="15.75">
      <c r="B393" s="2"/>
      <c r="C393" s="2"/>
      <c r="D393" s="24" t="s">
        <v>64</v>
      </c>
      <c r="E393" s="292">
        <f>E391*E392</f>
        <v>282</v>
      </c>
      <c r="F393" s="2"/>
      <c r="G393" s="2" t="s">
        <v>336</v>
      </c>
      <c r="J393" s="108"/>
      <c r="M393" s="2"/>
      <c r="N393" s="2"/>
      <c r="O393" s="2"/>
      <c r="P393" s="2"/>
      <c r="Q393" s="56"/>
    </row>
    <row r="394" spans="2:17" ht="15.75">
      <c r="B394" s="2"/>
      <c r="C394" s="2"/>
      <c r="D394" s="21" t="s">
        <v>63</v>
      </c>
      <c r="E394" s="281">
        <f>Input!H10</f>
        <v>500</v>
      </c>
      <c r="F394" s="21"/>
      <c r="G394" s="21" t="s">
        <v>41</v>
      </c>
      <c r="H394" s="109"/>
      <c r="J394" s="108"/>
      <c r="M394" s="2"/>
      <c r="N394" s="2"/>
      <c r="O394" s="2"/>
      <c r="P394" s="2"/>
      <c r="Q394" s="56"/>
    </row>
    <row r="395" spans="2:10" ht="15">
      <c r="B395" s="2"/>
      <c r="C395" s="2"/>
      <c r="D395" s="24" t="s">
        <v>64</v>
      </c>
      <c r="E395" s="278">
        <f>E393/E394</f>
        <v>0.564</v>
      </c>
      <c r="F395" s="2"/>
      <c r="G395" s="3" t="s">
        <v>38</v>
      </c>
      <c r="J395" s="108"/>
    </row>
    <row r="396" spans="2:6" ht="15">
      <c r="B396" s="2"/>
      <c r="C396" s="2"/>
      <c r="D396" s="2"/>
      <c r="E396" s="121"/>
      <c r="F396" s="2"/>
    </row>
    <row r="397" spans="2:10" ht="15">
      <c r="B397" s="2" t="s">
        <v>337</v>
      </c>
      <c r="C397" s="2"/>
      <c r="D397" s="2"/>
      <c r="E397" s="300">
        <f>Input!H98</f>
        <v>80</v>
      </c>
      <c r="F397" s="2"/>
      <c r="G397" s="2" t="s">
        <v>159</v>
      </c>
      <c r="J397" s="107"/>
    </row>
    <row r="398" spans="2:10" ht="15">
      <c r="B398" s="2"/>
      <c r="C398" s="2"/>
      <c r="D398" s="2" t="s">
        <v>62</v>
      </c>
      <c r="E398" s="278">
        <f>Input!H99</f>
        <v>0.85</v>
      </c>
      <c r="F398" s="2"/>
      <c r="G398" s="2" t="s">
        <v>160</v>
      </c>
      <c r="J398" s="107"/>
    </row>
    <row r="399" spans="2:10" ht="15">
      <c r="B399" s="2"/>
      <c r="C399" s="2"/>
      <c r="D399" s="2" t="s">
        <v>62</v>
      </c>
      <c r="E399" s="301">
        <f>Input!H100</f>
        <v>1</v>
      </c>
      <c r="F399" s="21"/>
      <c r="G399" s="21" t="s">
        <v>161</v>
      </c>
      <c r="J399" s="108"/>
    </row>
    <row r="400" spans="2:10" ht="15">
      <c r="B400" s="2"/>
      <c r="C400" s="2"/>
      <c r="D400" s="24" t="s">
        <v>64</v>
      </c>
      <c r="E400" s="292">
        <f>SUM(E397*E398*E399)</f>
        <v>68</v>
      </c>
      <c r="F400" s="21"/>
      <c r="G400" s="2" t="s">
        <v>338</v>
      </c>
      <c r="J400" s="108"/>
    </row>
    <row r="401" spans="2:10" ht="15">
      <c r="B401" s="2"/>
      <c r="C401" s="2"/>
      <c r="D401" s="21" t="s">
        <v>63</v>
      </c>
      <c r="E401" s="281">
        <f>Input!H10</f>
        <v>500</v>
      </c>
      <c r="F401" s="21"/>
      <c r="G401" s="21" t="s">
        <v>41</v>
      </c>
      <c r="H401" s="109"/>
      <c r="J401" s="108"/>
    </row>
    <row r="402" spans="2:10" ht="15">
      <c r="B402" s="2"/>
      <c r="C402" s="2"/>
      <c r="D402" s="24" t="s">
        <v>64</v>
      </c>
      <c r="E402" s="278">
        <f>E400/E401</f>
        <v>0.136</v>
      </c>
      <c r="F402" s="2"/>
      <c r="G402" s="3" t="s">
        <v>38</v>
      </c>
      <c r="J402" s="108"/>
    </row>
    <row r="403" spans="2:6" ht="15">
      <c r="B403" s="2"/>
      <c r="C403" s="2"/>
      <c r="D403" s="2"/>
      <c r="E403" s="121"/>
      <c r="F403" s="2"/>
    </row>
    <row r="404" spans="2:10" s="20" customFormat="1" ht="15.75">
      <c r="B404" s="20" t="s">
        <v>19</v>
      </c>
      <c r="D404" s="20" t="s">
        <v>64</v>
      </c>
      <c r="E404" s="280">
        <f>E395+E402</f>
        <v>0.7</v>
      </c>
      <c r="G404" s="32" t="s">
        <v>38</v>
      </c>
      <c r="J404" s="82"/>
    </row>
    <row r="405" spans="2:6" ht="15">
      <c r="B405" s="2"/>
      <c r="C405" s="2"/>
      <c r="D405" s="2"/>
      <c r="E405" s="121"/>
      <c r="F405" s="2"/>
    </row>
    <row r="406" spans="2:11" ht="15.75">
      <c r="B406" s="1" t="s">
        <v>326</v>
      </c>
      <c r="D406" s="2"/>
      <c r="E406" s="74"/>
      <c r="F406" s="2"/>
      <c r="K406" s="110"/>
    </row>
    <row r="407" spans="1:10" s="317" customFormat="1" ht="18" customHeight="1">
      <c r="A407" s="321"/>
      <c r="B407" s="322"/>
      <c r="D407" s="24"/>
      <c r="E407" s="323">
        <f>Input!H139</f>
        <v>0.00171</v>
      </c>
      <c r="F407" s="324"/>
      <c r="G407" s="325" t="str">
        <f>"manure m3/ewe/day     ("&amp;TEXT((E407/0.028317),"0.00")&amp;" ft3/ewe/day)"</f>
        <v>manure m3/ewe/day     (0.06 ft3/ewe/day)</v>
      </c>
      <c r="J407" s="324"/>
    </row>
    <row r="408" spans="1:10" s="317" customFormat="1" ht="18">
      <c r="A408" s="321"/>
      <c r="C408" s="322"/>
      <c r="D408" s="24" t="s">
        <v>87</v>
      </c>
      <c r="E408" s="323">
        <f>(((Input!H69*2205)/9)*0.028317)/E409</f>
        <v>0.005904395744680851</v>
      </c>
      <c r="G408" s="325" t="str">
        <f>"bedding m3/ewe/day     ("&amp;TEXT((E408/0.028317),"0.00")&amp;" ft3/ewe/day)"</f>
        <v>bedding m3/ewe/day     (0.21 ft3/ewe/day)</v>
      </c>
      <c r="J408" s="324"/>
    </row>
    <row r="409" spans="1:10" s="317" customFormat="1" ht="15" customHeight="1">
      <c r="A409" s="321"/>
      <c r="C409" s="322"/>
      <c r="D409" s="324" t="s">
        <v>62</v>
      </c>
      <c r="E409" s="326">
        <f>Input!C30+Input!C33+Input!C36+Input!C40</f>
        <v>235</v>
      </c>
      <c r="G409" s="324" t="s">
        <v>453</v>
      </c>
      <c r="I409" s="324"/>
      <c r="J409" s="324"/>
    </row>
    <row r="410" spans="1:10" s="317" customFormat="1" ht="18.75">
      <c r="A410" s="321"/>
      <c r="C410" s="322"/>
      <c r="D410" s="324" t="s">
        <v>64</v>
      </c>
      <c r="E410" s="327">
        <f>SUM(E409*(E407+E408))</f>
        <v>1.7893829999999997</v>
      </c>
      <c r="G410" s="325" t="s">
        <v>454</v>
      </c>
      <c r="I410" s="324"/>
      <c r="J410" s="324"/>
    </row>
    <row r="411" spans="1:10" s="317" customFormat="1" ht="18">
      <c r="A411" s="321"/>
      <c r="C411" s="322"/>
      <c r="D411" s="324" t="s">
        <v>62</v>
      </c>
      <c r="E411" s="328">
        <f>Input!H141</f>
        <v>80</v>
      </c>
      <c r="G411" s="325" t="s">
        <v>455</v>
      </c>
      <c r="I411" s="324"/>
      <c r="J411" s="324"/>
    </row>
    <row r="412" spans="1:10" s="317" customFormat="1" ht="18.75">
      <c r="A412" s="321"/>
      <c r="C412" s="322"/>
      <c r="D412" s="324" t="s">
        <v>62</v>
      </c>
      <c r="E412" s="329">
        <v>1.30795</v>
      </c>
      <c r="G412" s="325" t="s">
        <v>456</v>
      </c>
      <c r="I412" s="324"/>
      <c r="J412" s="324"/>
    </row>
    <row r="413" spans="1:10" s="317" customFormat="1" ht="18.75">
      <c r="A413" s="321"/>
      <c r="C413" s="322"/>
      <c r="D413" s="326" t="s">
        <v>62</v>
      </c>
      <c r="E413" s="330">
        <f>Input!H142</f>
        <v>12</v>
      </c>
      <c r="G413" s="331" t="s">
        <v>457</v>
      </c>
      <c r="I413" s="324"/>
      <c r="J413" s="324"/>
    </row>
    <row r="414" spans="1:10" s="317" customFormat="1" ht="15" customHeight="1">
      <c r="A414" s="321"/>
      <c r="C414" s="322"/>
      <c r="D414" s="322" t="s">
        <v>64</v>
      </c>
      <c r="E414" s="332">
        <f>SUM(E410*(1-(E411/100))*E412*E413)</f>
        <v>5.617016387639998</v>
      </c>
      <c r="G414" s="322" t="s">
        <v>38</v>
      </c>
      <c r="I414" s="324"/>
      <c r="J414" s="324"/>
    </row>
    <row r="415" spans="3:7" ht="15">
      <c r="C415" s="2"/>
      <c r="E415" s="288"/>
      <c r="F415" s="2"/>
      <c r="G415" s="3"/>
    </row>
    <row r="416" spans="2:11" ht="15.75">
      <c r="B416" s="1" t="s">
        <v>331</v>
      </c>
      <c r="D416" s="2"/>
      <c r="E416" s="74"/>
      <c r="F416" s="2"/>
      <c r="K416" s="110"/>
    </row>
    <row r="417" spans="3:10" ht="15">
      <c r="C417" s="2"/>
      <c r="E417" s="288">
        <f>Input!H155</f>
        <v>500</v>
      </c>
      <c r="F417" s="2"/>
      <c r="G417" s="3" t="s">
        <v>46</v>
      </c>
      <c r="J417" s="107"/>
    </row>
    <row r="418" spans="3:10" ht="15">
      <c r="C418" s="2"/>
      <c r="D418" s="21" t="s">
        <v>63</v>
      </c>
      <c r="E418" s="281">
        <f>Input!$H$10</f>
        <v>500</v>
      </c>
      <c r="F418" s="21"/>
      <c r="G418" s="23" t="s">
        <v>41</v>
      </c>
      <c r="J418" s="108"/>
    </row>
    <row r="419" spans="3:10" ht="15.75">
      <c r="C419" s="2"/>
      <c r="D419" s="112" t="s">
        <v>64</v>
      </c>
      <c r="E419" s="302">
        <f>ROUND(E417/E418,2)</f>
        <v>1</v>
      </c>
      <c r="F419" s="20"/>
      <c r="G419" s="1" t="s">
        <v>38</v>
      </c>
      <c r="J419" s="108"/>
    </row>
    <row r="420" spans="3:7" ht="15">
      <c r="C420" s="2"/>
      <c r="E420" s="288"/>
      <c r="F420" s="2"/>
      <c r="G420" s="3"/>
    </row>
    <row r="421" spans="2:11" ht="15.75">
      <c r="B421" s="1" t="s">
        <v>332</v>
      </c>
      <c r="D421" s="2"/>
      <c r="E421" s="74"/>
      <c r="F421" s="2"/>
      <c r="K421" s="110"/>
    </row>
    <row r="422" spans="2:10" ht="15">
      <c r="B422" s="2"/>
      <c r="C422" s="2"/>
      <c r="D422" s="3"/>
      <c r="E422" s="278">
        <f>Summary!D27</f>
        <v>262.12525322974517</v>
      </c>
      <c r="F422" s="2"/>
      <c r="G422" s="3" t="s">
        <v>91</v>
      </c>
      <c r="J422" s="107"/>
    </row>
    <row r="423" spans="2:10" ht="15">
      <c r="B423" s="2"/>
      <c r="C423" s="2"/>
      <c r="D423" s="2" t="s">
        <v>63</v>
      </c>
      <c r="E423" s="121">
        <v>2</v>
      </c>
      <c r="F423" s="2"/>
      <c r="G423" s="8" t="s">
        <v>115</v>
      </c>
      <c r="J423" s="108"/>
    </row>
    <row r="424" spans="2:10" ht="15">
      <c r="B424" s="2"/>
      <c r="C424" s="2"/>
      <c r="D424" s="21" t="s">
        <v>62</v>
      </c>
      <c r="E424" s="303">
        <f>Input!H159</f>
        <v>0.0575</v>
      </c>
      <c r="F424" s="21"/>
      <c r="G424" s="23" t="s">
        <v>92</v>
      </c>
      <c r="H424" s="109"/>
      <c r="I424" s="109"/>
      <c r="J424" s="108"/>
    </row>
    <row r="425" spans="2:10" ht="15.75">
      <c r="B425" s="2"/>
      <c r="C425" s="2"/>
      <c r="D425" s="32" t="s">
        <v>64</v>
      </c>
      <c r="E425" s="280">
        <f>ROUND((E422/E423)*E424,2)</f>
        <v>7.54</v>
      </c>
      <c r="F425" s="20"/>
      <c r="G425" s="1" t="s">
        <v>38</v>
      </c>
      <c r="J425" s="108"/>
    </row>
    <row r="426" spans="3:6" ht="15">
      <c r="C426" s="2"/>
      <c r="D426" s="2"/>
      <c r="E426" s="121"/>
      <c r="F426" s="2"/>
    </row>
    <row r="427" spans="3:6" ht="15">
      <c r="C427" s="2"/>
      <c r="D427" s="2"/>
      <c r="E427" s="121"/>
      <c r="F427" s="2"/>
    </row>
    <row r="428" spans="2:6" ht="15.75">
      <c r="B428" s="1" t="s">
        <v>47</v>
      </c>
      <c r="C428" s="2"/>
      <c r="D428" s="2"/>
      <c r="E428" s="121"/>
      <c r="F428" s="2"/>
    </row>
    <row r="429" spans="1:10" ht="18">
      <c r="A429" s="2"/>
      <c r="B429" s="385" t="s">
        <v>21</v>
      </c>
      <c r="C429" s="386"/>
      <c r="D429" s="386"/>
      <c r="E429" s="386"/>
      <c r="F429" s="386"/>
      <c r="G429" s="386"/>
      <c r="H429" s="386"/>
      <c r="I429" s="386"/>
      <c r="J429" s="386"/>
    </row>
    <row r="430" spans="1:10" ht="15.75">
      <c r="A430" s="2"/>
      <c r="B430" s="1"/>
      <c r="C430" s="2"/>
      <c r="D430" s="2"/>
      <c r="E430" s="121"/>
      <c r="F430" s="2"/>
      <c r="G430" s="2"/>
      <c r="H430" s="2"/>
      <c r="I430" s="39"/>
      <c r="J430" s="20"/>
    </row>
    <row r="431" spans="1:10" ht="15.75">
      <c r="A431" s="2"/>
      <c r="B431" s="1" t="s">
        <v>20</v>
      </c>
      <c r="C431" s="2"/>
      <c r="D431" s="2"/>
      <c r="E431" s="121"/>
      <c r="F431" s="2"/>
      <c r="G431" s="2"/>
      <c r="H431" s="35"/>
      <c r="I431" s="35"/>
      <c r="J431" s="19"/>
    </row>
    <row r="432" spans="1:11" ht="15">
      <c r="A432" s="2"/>
      <c r="B432" s="2"/>
      <c r="C432" s="3" t="s">
        <v>22</v>
      </c>
      <c r="D432" s="2"/>
      <c r="E432" s="121"/>
      <c r="F432" s="2"/>
      <c r="G432" s="2"/>
      <c r="H432" s="2"/>
      <c r="I432" s="2"/>
      <c r="J432" s="2"/>
      <c r="K432" s="110"/>
    </row>
    <row r="433" spans="1:10" ht="15">
      <c r="A433" s="2"/>
      <c r="B433" s="2"/>
      <c r="C433" s="3" t="s">
        <v>23</v>
      </c>
      <c r="D433" s="2"/>
      <c r="E433" s="121"/>
      <c r="F433" s="2"/>
      <c r="G433" s="2"/>
      <c r="I433" s="16">
        <f>Input!H165</f>
        <v>150000</v>
      </c>
      <c r="J433" s="107"/>
    </row>
    <row r="434" spans="1:10" ht="15">
      <c r="A434" s="2"/>
      <c r="B434" s="2"/>
      <c r="C434" s="3" t="s">
        <v>24</v>
      </c>
      <c r="D434" s="2"/>
      <c r="E434" s="121"/>
      <c r="F434" s="2"/>
      <c r="G434" s="2"/>
      <c r="I434" s="16">
        <f>Input!H166</f>
        <v>5700</v>
      </c>
      <c r="J434" s="108"/>
    </row>
    <row r="435" spans="1:10" ht="15">
      <c r="A435" s="2"/>
      <c r="B435" s="2"/>
      <c r="C435" s="3" t="s">
        <v>25</v>
      </c>
      <c r="D435" s="2"/>
      <c r="E435" s="121"/>
      <c r="F435" s="2"/>
      <c r="G435" s="2"/>
      <c r="I435" s="18">
        <f>Input!H167</f>
        <v>8000</v>
      </c>
      <c r="J435" s="108"/>
    </row>
    <row r="436" spans="1:10" ht="15.75">
      <c r="A436" s="2"/>
      <c r="B436" s="1" t="s">
        <v>26</v>
      </c>
      <c r="C436" s="2"/>
      <c r="D436" s="2"/>
      <c r="E436" s="121"/>
      <c r="F436" s="2"/>
      <c r="G436" s="2"/>
      <c r="I436" s="17">
        <f>SUM(I433:I435)</f>
        <v>163700</v>
      </c>
      <c r="J436" s="108"/>
    </row>
    <row r="437" spans="1:11" ht="15.75">
      <c r="A437" s="2"/>
      <c r="B437" s="1" t="s">
        <v>27</v>
      </c>
      <c r="C437" s="2"/>
      <c r="D437" s="2"/>
      <c r="E437" s="121"/>
      <c r="F437" s="2"/>
      <c r="G437" s="2"/>
      <c r="H437" s="2"/>
      <c r="I437" s="2"/>
      <c r="J437" s="42"/>
      <c r="K437" s="110"/>
    </row>
    <row r="438" spans="1:10" ht="15">
      <c r="A438" s="2"/>
      <c r="B438" s="2"/>
      <c r="C438" s="3" t="s">
        <v>28</v>
      </c>
      <c r="D438" s="2"/>
      <c r="E438" s="121"/>
      <c r="F438" s="2"/>
      <c r="G438" s="2"/>
      <c r="I438" s="16">
        <f>Input!H170</f>
        <v>3000</v>
      </c>
      <c r="J438" s="107"/>
    </row>
    <row r="439" spans="1:10" ht="15">
      <c r="A439" s="2"/>
      <c r="B439" s="2"/>
      <c r="C439" s="3" t="s">
        <v>29</v>
      </c>
      <c r="D439" s="2"/>
      <c r="E439" s="121"/>
      <c r="F439" s="2"/>
      <c r="G439" s="2"/>
      <c r="I439" s="16">
        <f>Input!H171</f>
        <v>5000</v>
      </c>
      <c r="J439" s="108"/>
    </row>
    <row r="440" spans="1:10" ht="15">
      <c r="A440" s="2"/>
      <c r="B440" s="2"/>
      <c r="C440" s="3" t="s">
        <v>179</v>
      </c>
      <c r="D440" s="2"/>
      <c r="E440" s="121"/>
      <c r="F440" s="2"/>
      <c r="G440" s="2"/>
      <c r="I440" s="16">
        <f>Input!H172</f>
        <v>36000</v>
      </c>
      <c r="J440" s="108"/>
    </row>
    <row r="441" spans="1:10" ht="15">
      <c r="A441" s="2"/>
      <c r="B441" s="2"/>
      <c r="C441" s="3" t="s">
        <v>180</v>
      </c>
      <c r="D441" s="2"/>
      <c r="E441" s="121"/>
      <c r="F441" s="2"/>
      <c r="G441" s="2"/>
      <c r="I441" s="18">
        <f>Input!H173</f>
        <v>15000</v>
      </c>
      <c r="J441" s="108"/>
    </row>
    <row r="442" spans="1:10" ht="15.75">
      <c r="A442" s="2"/>
      <c r="B442" s="1" t="s">
        <v>173</v>
      </c>
      <c r="C442" s="3"/>
      <c r="D442" s="2"/>
      <c r="E442" s="121"/>
      <c r="F442" s="2"/>
      <c r="G442" s="2"/>
      <c r="I442" s="17">
        <f>SUM(I438:I441)</f>
        <v>59000</v>
      </c>
      <c r="J442" s="108"/>
    </row>
    <row r="443" spans="1:10" ht="15.75">
      <c r="A443" s="2"/>
      <c r="B443" s="1" t="s">
        <v>30</v>
      </c>
      <c r="C443" s="2"/>
      <c r="D443" s="2"/>
      <c r="E443" s="121"/>
      <c r="F443" s="2"/>
      <c r="G443" s="2"/>
      <c r="I443" s="17">
        <f>I436+I442</f>
        <v>222700</v>
      </c>
      <c r="J443" s="108"/>
    </row>
    <row r="444" spans="1:11" ht="15.75">
      <c r="A444" s="2"/>
      <c r="B444" s="1" t="s">
        <v>31</v>
      </c>
      <c r="C444" s="2"/>
      <c r="D444" s="2"/>
      <c r="E444" s="121"/>
      <c r="F444" s="2"/>
      <c r="G444" s="2"/>
      <c r="H444" s="2"/>
      <c r="I444" s="2"/>
      <c r="J444" s="2"/>
      <c r="K444" s="110"/>
    </row>
    <row r="445" spans="1:10" ht="15">
      <c r="A445" s="2"/>
      <c r="B445" s="2"/>
      <c r="C445" s="3" t="s">
        <v>181</v>
      </c>
      <c r="D445" s="2"/>
      <c r="E445" s="121"/>
      <c r="F445" s="2"/>
      <c r="G445" s="2"/>
      <c r="I445" s="16">
        <f>Input!H177</f>
        <v>112500</v>
      </c>
      <c r="J445" s="107"/>
    </row>
    <row r="446" spans="1:10" ht="15">
      <c r="A446" s="2"/>
      <c r="B446" s="2"/>
      <c r="C446" s="3" t="s">
        <v>182</v>
      </c>
      <c r="D446" s="2"/>
      <c r="E446" s="121"/>
      <c r="F446" s="2"/>
      <c r="G446" s="2"/>
      <c r="I446" s="18">
        <f>Input!H178</f>
        <v>6500</v>
      </c>
      <c r="J446" s="108"/>
    </row>
    <row r="447" spans="1:10" ht="15.75">
      <c r="A447" s="2"/>
      <c r="B447" s="1" t="s">
        <v>32</v>
      </c>
      <c r="C447" s="2"/>
      <c r="D447" s="2"/>
      <c r="E447" s="121"/>
      <c r="F447" s="2"/>
      <c r="G447" s="2"/>
      <c r="I447" s="17">
        <f>SUM(I445:I446)</f>
        <v>119000</v>
      </c>
      <c r="J447" s="108"/>
    </row>
    <row r="448" spans="1:11" ht="15.75">
      <c r="A448" s="2"/>
      <c r="B448" s="20" t="s">
        <v>169</v>
      </c>
      <c r="C448" s="2"/>
      <c r="D448" s="2"/>
      <c r="E448" s="121"/>
      <c r="F448" s="2"/>
      <c r="G448" s="2"/>
      <c r="I448" s="2"/>
      <c r="J448" s="2"/>
      <c r="K448" s="110"/>
    </row>
    <row r="449" spans="1:10" ht="15">
      <c r="A449" s="2"/>
      <c r="B449" s="2" t="s">
        <v>166</v>
      </c>
      <c r="C449" s="2"/>
      <c r="D449" s="2"/>
      <c r="E449" s="121"/>
      <c r="F449" s="2"/>
      <c r="G449" s="2"/>
      <c r="I449" s="2">
        <f>Input!H181</f>
        <v>80</v>
      </c>
      <c r="J449" s="107"/>
    </row>
    <row r="450" spans="1:10" ht="15">
      <c r="A450" s="2"/>
      <c r="B450" s="2" t="s">
        <v>167</v>
      </c>
      <c r="C450" s="2"/>
      <c r="D450" s="2"/>
      <c r="E450" s="121"/>
      <c r="F450" s="2"/>
      <c r="G450" s="2"/>
      <c r="I450" s="2">
        <f>Input!H182</f>
        <v>750</v>
      </c>
      <c r="J450" s="108"/>
    </row>
    <row r="451" spans="1:10" ht="15">
      <c r="A451" s="2"/>
      <c r="B451" s="2" t="s">
        <v>176</v>
      </c>
      <c r="C451" s="2"/>
      <c r="D451" s="2"/>
      <c r="E451" s="121"/>
      <c r="F451" s="2"/>
      <c r="G451" s="2"/>
      <c r="I451" s="30">
        <f>I449*I450</f>
        <v>60000</v>
      </c>
      <c r="J451" s="108"/>
    </row>
    <row r="452" spans="1:9" ht="15">
      <c r="A452" s="2"/>
      <c r="B452" s="2" t="s">
        <v>196</v>
      </c>
      <c r="C452" s="2"/>
      <c r="D452" s="2"/>
      <c r="E452" s="121"/>
      <c r="I452" s="13">
        <f>Input!H184</f>
        <v>4</v>
      </c>
    </row>
    <row r="453" spans="1:10" ht="15">
      <c r="A453" s="2"/>
      <c r="B453" s="2" t="s">
        <v>231</v>
      </c>
      <c r="C453" s="2"/>
      <c r="D453" s="2"/>
      <c r="E453" s="121"/>
      <c r="F453" s="2"/>
      <c r="G453" s="2"/>
      <c r="I453" s="2">
        <f>Input!H185</f>
        <v>2</v>
      </c>
      <c r="J453" s="108"/>
    </row>
    <row r="454" spans="1:10" ht="15">
      <c r="A454" s="2"/>
      <c r="B454" s="2" t="s">
        <v>168</v>
      </c>
      <c r="C454" s="2"/>
      <c r="D454" s="2"/>
      <c r="E454" s="121"/>
      <c r="F454" s="2"/>
      <c r="G454" s="2"/>
      <c r="I454" s="30">
        <f>Input!H186</f>
        <v>5280</v>
      </c>
      <c r="J454" s="108"/>
    </row>
    <row r="455" spans="1:10" ht="15">
      <c r="A455" s="2"/>
      <c r="B455" s="2" t="s">
        <v>177</v>
      </c>
      <c r="C455" s="2"/>
      <c r="D455" s="2"/>
      <c r="E455" s="121"/>
      <c r="F455" s="2"/>
      <c r="G455" s="2"/>
      <c r="I455" s="31">
        <f>I453*I454</f>
        <v>10560</v>
      </c>
      <c r="J455" s="108"/>
    </row>
    <row r="456" spans="1:10" ht="15.75">
      <c r="A456" s="2"/>
      <c r="B456" s="20" t="s">
        <v>178</v>
      </c>
      <c r="C456" s="2"/>
      <c r="D456" s="2"/>
      <c r="E456" s="121"/>
      <c r="F456" s="2"/>
      <c r="G456" s="2"/>
      <c r="I456" s="43">
        <f>I451+I455</f>
        <v>70560</v>
      </c>
      <c r="J456" s="108"/>
    </row>
    <row r="457" spans="1:11" ht="15">
      <c r="A457" s="2"/>
      <c r="B457" s="2"/>
      <c r="C457" s="2"/>
      <c r="D457" s="2"/>
      <c r="E457" s="121"/>
      <c r="F457" s="2"/>
      <c r="G457" s="2"/>
      <c r="I457" s="2"/>
      <c r="J457" s="2"/>
      <c r="K457" s="110"/>
    </row>
    <row r="458" spans="1:10" ht="15.75">
      <c r="A458" s="2"/>
      <c r="B458" s="1" t="s">
        <v>33</v>
      </c>
      <c r="C458" s="2"/>
      <c r="D458" s="2"/>
      <c r="E458" s="121"/>
      <c r="F458" s="2"/>
      <c r="G458" s="2"/>
      <c r="I458" s="17">
        <f>I443+I447+I456</f>
        <v>412260</v>
      </c>
      <c r="J458" s="107"/>
    </row>
    <row r="459" spans="2:6" ht="15.75">
      <c r="B459" s="1"/>
      <c r="C459" s="2"/>
      <c r="D459" s="2"/>
      <c r="E459" s="121"/>
      <c r="F459" s="2"/>
    </row>
    <row r="460" spans="2:6" ht="15.75">
      <c r="B460" s="1" t="s">
        <v>48</v>
      </c>
      <c r="C460" s="2"/>
      <c r="D460" s="2"/>
      <c r="E460" s="121"/>
      <c r="F460" s="2"/>
    </row>
    <row r="461" spans="2:10" ht="15">
      <c r="B461" s="9"/>
      <c r="C461" s="387" t="s">
        <v>116</v>
      </c>
      <c r="D461" s="391"/>
      <c r="E461" s="391"/>
      <c r="F461" s="391"/>
      <c r="G461" s="391"/>
      <c r="H461" s="391"/>
      <c r="I461" s="391"/>
      <c r="J461" s="391"/>
    </row>
    <row r="462" spans="2:10" ht="15">
      <c r="B462" s="9"/>
      <c r="C462" s="392" t="s">
        <v>117</v>
      </c>
      <c r="D462" s="388"/>
      <c r="E462" s="388"/>
      <c r="F462" s="388"/>
      <c r="G462" s="388"/>
      <c r="H462" s="388"/>
      <c r="I462" s="388"/>
      <c r="J462" s="388"/>
    </row>
    <row r="463" spans="2:11" ht="15.75">
      <c r="B463" s="1" t="s">
        <v>49</v>
      </c>
      <c r="D463" s="2"/>
      <c r="E463" s="121"/>
      <c r="F463" s="2"/>
      <c r="K463" s="110"/>
    </row>
    <row r="464" spans="3:10" ht="15">
      <c r="C464" s="2"/>
      <c r="D464" s="2"/>
      <c r="E464" s="292">
        <f>Input!H168</f>
        <v>163700</v>
      </c>
      <c r="F464" s="2"/>
      <c r="G464" s="3" t="s">
        <v>118</v>
      </c>
      <c r="J464" s="107"/>
    </row>
    <row r="465" spans="3:10" ht="15">
      <c r="C465" s="2"/>
      <c r="D465" s="24" t="s">
        <v>110</v>
      </c>
      <c r="E465" s="292">
        <f>SUM((Input!H165*Input!J165)+(Input!H166*Input!J166)+(Input!H167*Input!J167))</f>
        <v>15000</v>
      </c>
      <c r="F465" s="2"/>
      <c r="G465" s="3" t="s">
        <v>119</v>
      </c>
      <c r="J465" s="108"/>
    </row>
    <row r="466" spans="2:10" ht="15">
      <c r="B466" s="2"/>
      <c r="C466" s="2"/>
      <c r="D466" s="2" t="s">
        <v>63</v>
      </c>
      <c r="E466" s="121">
        <f>AVERAGE(Input!I165:I167)</f>
        <v>30</v>
      </c>
      <c r="F466" s="2"/>
      <c r="G466" s="3" t="s">
        <v>120</v>
      </c>
      <c r="J466" s="108"/>
    </row>
    <row r="467" spans="3:10" ht="15">
      <c r="C467" s="2"/>
      <c r="D467" s="21" t="s">
        <v>63</v>
      </c>
      <c r="E467" s="281">
        <f>Input!$H$10</f>
        <v>500</v>
      </c>
      <c r="F467" s="21"/>
      <c r="G467" s="23" t="s">
        <v>41</v>
      </c>
      <c r="J467" s="108"/>
    </row>
    <row r="468" spans="3:10" ht="15.75">
      <c r="C468" s="2"/>
      <c r="D468" s="32" t="s">
        <v>64</v>
      </c>
      <c r="E468" s="280">
        <f>ROUND(((E464-E465)/E466)/E467,2)</f>
        <v>9.91</v>
      </c>
      <c r="F468" s="20"/>
      <c r="G468" s="1" t="s">
        <v>38</v>
      </c>
      <c r="J468" s="108"/>
    </row>
    <row r="469" spans="3:7" ht="15">
      <c r="C469" s="2"/>
      <c r="D469" s="2"/>
      <c r="E469" s="121"/>
      <c r="F469" s="2"/>
      <c r="G469" s="3"/>
    </row>
    <row r="470" spans="2:11" ht="15.75">
      <c r="B470" s="1" t="s">
        <v>174</v>
      </c>
      <c r="D470" s="2"/>
      <c r="F470" s="2"/>
      <c r="G470" s="2"/>
      <c r="K470" s="110"/>
    </row>
    <row r="471" spans="3:10" ht="15">
      <c r="C471" s="2"/>
      <c r="D471" s="2"/>
      <c r="E471" s="292">
        <f>Input!H174</f>
        <v>59000</v>
      </c>
      <c r="F471" s="2"/>
      <c r="G471" s="3" t="s">
        <v>118</v>
      </c>
      <c r="J471" s="107"/>
    </row>
    <row r="472" spans="3:10" ht="15">
      <c r="C472" s="2"/>
      <c r="D472" s="24" t="s">
        <v>110</v>
      </c>
      <c r="E472" s="292">
        <f>SUM((Input!H170*Input!J170)+(Input!H171*Input!J171)+(Input!H172*Input!J172)+(Input!H173*Input!J173))</f>
        <v>10000</v>
      </c>
      <c r="F472" s="2"/>
      <c r="G472" s="3" t="s">
        <v>119</v>
      </c>
      <c r="J472" s="108"/>
    </row>
    <row r="473" spans="2:10" ht="15">
      <c r="B473" s="2"/>
      <c r="C473" s="2"/>
      <c r="D473" s="2" t="s">
        <v>63</v>
      </c>
      <c r="E473" s="121">
        <f>AVERAGE(Input!I170:I173)</f>
        <v>10</v>
      </c>
      <c r="F473" s="2"/>
      <c r="G473" s="3" t="s">
        <v>120</v>
      </c>
      <c r="J473" s="108"/>
    </row>
    <row r="474" spans="3:10" ht="15">
      <c r="C474" s="2"/>
      <c r="D474" s="21" t="s">
        <v>63</v>
      </c>
      <c r="E474" s="281">
        <f>Input!$H$10</f>
        <v>500</v>
      </c>
      <c r="F474" s="21"/>
      <c r="G474" s="23" t="s">
        <v>41</v>
      </c>
      <c r="J474" s="108"/>
    </row>
    <row r="475" spans="3:10" ht="15.75">
      <c r="C475" s="2"/>
      <c r="D475" s="32" t="s">
        <v>64</v>
      </c>
      <c r="E475" s="280">
        <f>ROUND(((E471-E472)/E473)/E474,2)</f>
        <v>9.8</v>
      </c>
      <c r="F475" s="20"/>
      <c r="G475" s="1" t="s">
        <v>38</v>
      </c>
      <c r="J475" s="108"/>
    </row>
    <row r="476" spans="3:7" ht="15.75">
      <c r="C476" s="2"/>
      <c r="D476" s="32"/>
      <c r="E476" s="280"/>
      <c r="F476" s="2"/>
      <c r="G476" s="3"/>
    </row>
    <row r="477" spans="2:6" ht="15.75">
      <c r="B477" s="1" t="s">
        <v>197</v>
      </c>
      <c r="C477" s="2"/>
      <c r="D477" s="2"/>
      <c r="E477" s="121"/>
      <c r="F477" s="2"/>
    </row>
    <row r="478" spans="2:10" ht="15.75" customHeight="1">
      <c r="B478" s="9"/>
      <c r="C478" s="387" t="s">
        <v>199</v>
      </c>
      <c r="D478" s="388"/>
      <c r="E478" s="388"/>
      <c r="F478" s="388"/>
      <c r="G478" s="388"/>
      <c r="H478" s="388"/>
      <c r="I478" s="388"/>
      <c r="J478" s="388"/>
    </row>
    <row r="479" spans="2:10" ht="15">
      <c r="B479" s="9"/>
      <c r="C479" s="389" t="s">
        <v>198</v>
      </c>
      <c r="D479" s="390"/>
      <c r="E479" s="390"/>
      <c r="F479" s="390"/>
      <c r="G479" s="390"/>
      <c r="H479" s="390"/>
      <c r="I479" s="390"/>
      <c r="J479" s="390"/>
    </row>
    <row r="480" spans="2:11" ht="15.75">
      <c r="B480" s="1" t="s">
        <v>200</v>
      </c>
      <c r="D480" s="2"/>
      <c r="E480" s="121"/>
      <c r="F480" s="2"/>
      <c r="K480" s="110"/>
    </row>
    <row r="481" spans="3:10" ht="15">
      <c r="C481" s="2"/>
      <c r="D481" s="2"/>
      <c r="E481" s="292">
        <f>Input!H168</f>
        <v>163700</v>
      </c>
      <c r="F481" s="2"/>
      <c r="G481" s="3" t="s">
        <v>118</v>
      </c>
      <c r="J481" s="107"/>
    </row>
    <row r="482" spans="3:10" ht="15">
      <c r="C482" s="2"/>
      <c r="D482" s="2" t="s">
        <v>87</v>
      </c>
      <c r="E482" s="292">
        <f>E465</f>
        <v>15000</v>
      </c>
      <c r="F482" s="2"/>
      <c r="G482" s="3" t="s">
        <v>119</v>
      </c>
      <c r="J482" s="108"/>
    </row>
    <row r="483" spans="2:10" ht="15">
      <c r="B483" s="2"/>
      <c r="C483" s="2"/>
      <c r="D483" s="2" t="s">
        <v>63</v>
      </c>
      <c r="E483" s="121">
        <v>2</v>
      </c>
      <c r="F483" s="2"/>
      <c r="G483" s="3" t="s">
        <v>115</v>
      </c>
      <c r="J483" s="108"/>
    </row>
    <row r="484" spans="2:10" ht="15">
      <c r="B484" s="2"/>
      <c r="C484" s="2"/>
      <c r="D484" s="2" t="s">
        <v>62</v>
      </c>
      <c r="E484" s="304">
        <f>Input!H158</f>
        <v>0.0275</v>
      </c>
      <c r="F484" s="2"/>
      <c r="G484" s="3" t="s">
        <v>185</v>
      </c>
      <c r="J484" s="108"/>
    </row>
    <row r="485" spans="3:10" ht="15">
      <c r="C485" s="2"/>
      <c r="D485" s="21" t="s">
        <v>63</v>
      </c>
      <c r="E485" s="281">
        <f>Input!$H$10</f>
        <v>500</v>
      </c>
      <c r="F485" s="21"/>
      <c r="G485" s="23" t="s">
        <v>41</v>
      </c>
      <c r="J485" s="108"/>
    </row>
    <row r="486" spans="3:10" ht="15.75">
      <c r="C486" s="2"/>
      <c r="D486" s="32" t="s">
        <v>64</v>
      </c>
      <c r="E486" s="280">
        <f>ROUND((((E481+E482)/E483)*E484)/E485,2)</f>
        <v>4.91</v>
      </c>
      <c r="F486" s="20"/>
      <c r="G486" s="1" t="s">
        <v>38</v>
      </c>
      <c r="J486" s="108"/>
    </row>
    <row r="487" spans="3:7" ht="15.75">
      <c r="C487" s="2"/>
      <c r="D487" s="32"/>
      <c r="E487" s="280"/>
      <c r="F487" s="2"/>
      <c r="G487" s="3"/>
    </row>
    <row r="488" spans="2:11" ht="15.75">
      <c r="B488" s="1" t="s">
        <v>201</v>
      </c>
      <c r="D488" s="2"/>
      <c r="E488" s="121"/>
      <c r="F488" s="2"/>
      <c r="K488" s="110"/>
    </row>
    <row r="489" spans="3:10" ht="15">
      <c r="C489" s="2"/>
      <c r="D489" s="2"/>
      <c r="E489" s="292">
        <f>Input!H174</f>
        <v>59000</v>
      </c>
      <c r="F489" s="2"/>
      <c r="G489" s="3" t="s">
        <v>118</v>
      </c>
      <c r="J489" s="107"/>
    </row>
    <row r="490" spans="3:10" ht="15">
      <c r="C490" s="2"/>
      <c r="D490" s="2" t="s">
        <v>87</v>
      </c>
      <c r="E490" s="292">
        <f>E472</f>
        <v>10000</v>
      </c>
      <c r="F490" s="2"/>
      <c r="G490" s="3" t="s">
        <v>119</v>
      </c>
      <c r="J490" s="108"/>
    </row>
    <row r="491" spans="2:10" ht="15">
      <c r="B491" s="2"/>
      <c r="C491" s="2"/>
      <c r="D491" s="2" t="s">
        <v>63</v>
      </c>
      <c r="E491" s="121">
        <v>2</v>
      </c>
      <c r="F491" s="2"/>
      <c r="G491" s="3" t="s">
        <v>115</v>
      </c>
      <c r="J491" s="108"/>
    </row>
    <row r="492" spans="2:10" ht="15">
      <c r="B492" s="2"/>
      <c r="C492" s="2"/>
      <c r="D492" s="2" t="s">
        <v>62</v>
      </c>
      <c r="E492" s="304">
        <f>Input!H158</f>
        <v>0.0275</v>
      </c>
      <c r="F492" s="2"/>
      <c r="G492" s="3" t="s">
        <v>185</v>
      </c>
      <c r="J492" s="108"/>
    </row>
    <row r="493" spans="3:10" ht="15">
      <c r="C493" s="2"/>
      <c r="D493" s="21" t="s">
        <v>63</v>
      </c>
      <c r="E493" s="281">
        <f>Input!$H$10</f>
        <v>500</v>
      </c>
      <c r="F493" s="21"/>
      <c r="G493" s="23" t="s">
        <v>41</v>
      </c>
      <c r="J493" s="108"/>
    </row>
    <row r="494" spans="3:10" ht="15.75">
      <c r="C494" s="2"/>
      <c r="D494" s="32" t="s">
        <v>64</v>
      </c>
      <c r="E494" s="280">
        <f>ROUND((((E489+E490)/E491)*E492)/E493,2)</f>
        <v>1.9</v>
      </c>
      <c r="F494" s="20"/>
      <c r="G494" s="1" t="s">
        <v>38</v>
      </c>
      <c r="J494" s="108"/>
    </row>
    <row r="495" spans="3:7" ht="15.75">
      <c r="C495" s="2"/>
      <c r="D495" s="32"/>
      <c r="E495" s="280"/>
      <c r="F495" s="2"/>
      <c r="G495" s="3"/>
    </row>
    <row r="496" spans="2:11" ht="15.75">
      <c r="B496" s="1" t="s">
        <v>202</v>
      </c>
      <c r="D496" s="2"/>
      <c r="E496" s="121"/>
      <c r="F496" s="2"/>
      <c r="K496" s="110"/>
    </row>
    <row r="497" spans="3:10" ht="15">
      <c r="C497" s="2"/>
      <c r="D497" s="2"/>
      <c r="E497" s="292">
        <f>Input!H179</f>
        <v>119000</v>
      </c>
      <c r="F497" s="2"/>
      <c r="G497" s="3" t="s">
        <v>98</v>
      </c>
      <c r="J497" s="107"/>
    </row>
    <row r="498" spans="2:10" ht="15">
      <c r="B498" s="2"/>
      <c r="C498" s="2"/>
      <c r="D498" s="2" t="s">
        <v>62</v>
      </c>
      <c r="E498" s="304">
        <f>Input!H158</f>
        <v>0.0275</v>
      </c>
      <c r="F498" s="2"/>
      <c r="G498" s="3" t="s">
        <v>185</v>
      </c>
      <c r="J498" s="108"/>
    </row>
    <row r="499" spans="3:10" ht="15">
      <c r="C499" s="2"/>
      <c r="D499" s="21" t="s">
        <v>63</v>
      </c>
      <c r="E499" s="281">
        <f>Input!$H$10</f>
        <v>500</v>
      </c>
      <c r="F499" s="21"/>
      <c r="G499" s="23" t="s">
        <v>41</v>
      </c>
      <c r="J499" s="108"/>
    </row>
    <row r="500" spans="3:10" ht="15.75">
      <c r="C500" s="2"/>
      <c r="D500" s="32" t="s">
        <v>64</v>
      </c>
      <c r="E500" s="280">
        <f>(E497*E498)/E499</f>
        <v>6.545</v>
      </c>
      <c r="F500" s="20"/>
      <c r="G500" s="1" t="s">
        <v>38</v>
      </c>
      <c r="J500" s="108"/>
    </row>
    <row r="501" spans="3:7" ht="15.75">
      <c r="C501" s="2"/>
      <c r="D501" s="32"/>
      <c r="E501" s="280"/>
      <c r="F501" s="2"/>
      <c r="G501" s="3"/>
    </row>
    <row r="502" spans="2:11" ht="15.75">
      <c r="B502" s="20" t="s">
        <v>183</v>
      </c>
      <c r="D502" s="32"/>
      <c r="E502" s="280"/>
      <c r="F502" s="2"/>
      <c r="G502" s="3"/>
      <c r="K502" s="110"/>
    </row>
    <row r="503" spans="2:10" ht="15.75">
      <c r="B503" s="2" t="s">
        <v>169</v>
      </c>
      <c r="C503" s="2"/>
      <c r="D503" s="33"/>
      <c r="E503" s="305">
        <f>Input!H183</f>
        <v>60000</v>
      </c>
      <c r="F503" s="3"/>
      <c r="G503" s="2" t="s">
        <v>184</v>
      </c>
      <c r="J503" s="107"/>
    </row>
    <row r="504" spans="3:10" ht="15">
      <c r="C504" s="2"/>
      <c r="D504" s="13" t="s">
        <v>62</v>
      </c>
      <c r="E504" s="304">
        <f>Input!H158</f>
        <v>0.0275</v>
      </c>
      <c r="F504" s="3"/>
      <c r="G504" s="2" t="s">
        <v>185</v>
      </c>
      <c r="J504" s="108"/>
    </row>
    <row r="505" spans="3:10" ht="15">
      <c r="C505" s="2"/>
      <c r="D505" s="13" t="s">
        <v>63</v>
      </c>
      <c r="E505" s="281">
        <f>Input!$H$10</f>
        <v>500</v>
      </c>
      <c r="F505" s="3"/>
      <c r="G505" s="23" t="s">
        <v>41</v>
      </c>
      <c r="J505" s="108"/>
    </row>
    <row r="506" spans="3:10" ht="15">
      <c r="C506" s="2"/>
      <c r="D506" s="13" t="s">
        <v>64</v>
      </c>
      <c r="E506" s="294">
        <f>(E503*E504)/E505</f>
        <v>3.3</v>
      </c>
      <c r="F506" s="3"/>
      <c r="G506" s="3" t="s">
        <v>38</v>
      </c>
      <c r="J506" s="108"/>
    </row>
    <row r="507" spans="3:11" ht="15.75">
      <c r="C507" s="2"/>
      <c r="D507" s="32"/>
      <c r="E507" s="280"/>
      <c r="F507" s="2"/>
      <c r="G507" s="3"/>
      <c r="K507" s="110"/>
    </row>
    <row r="508" spans="2:10" ht="15.75">
      <c r="B508" s="2" t="s">
        <v>193</v>
      </c>
      <c r="C508" s="2"/>
      <c r="D508" s="33"/>
      <c r="E508" s="305">
        <f>Input!H181*Input!H184</f>
        <v>320</v>
      </c>
      <c r="F508" s="3"/>
      <c r="G508" s="2" t="s">
        <v>186</v>
      </c>
      <c r="J508" s="107"/>
    </row>
    <row r="509" spans="3:10" ht="15">
      <c r="C509" s="2"/>
      <c r="D509" s="13" t="s">
        <v>63</v>
      </c>
      <c r="E509" s="281">
        <f>Input!$H$10</f>
        <v>500</v>
      </c>
      <c r="F509" s="3"/>
      <c r="G509" s="23" t="s">
        <v>41</v>
      </c>
      <c r="J509" s="108"/>
    </row>
    <row r="510" spans="3:10" ht="15">
      <c r="C510" s="2"/>
      <c r="D510" s="13" t="s">
        <v>64</v>
      </c>
      <c r="E510" s="294">
        <f>E508/E509</f>
        <v>0.64</v>
      </c>
      <c r="F510" s="3"/>
      <c r="G510" s="3" t="s">
        <v>38</v>
      </c>
      <c r="J510" s="108"/>
    </row>
    <row r="511" spans="4:11" ht="15.75">
      <c r="D511" s="32"/>
      <c r="E511" s="280"/>
      <c r="F511" s="2"/>
      <c r="G511" s="3"/>
      <c r="K511" s="110"/>
    </row>
    <row r="512" spans="2:10" ht="15.75">
      <c r="B512" s="2" t="s">
        <v>191</v>
      </c>
      <c r="C512" s="2"/>
      <c r="D512" s="33"/>
      <c r="E512" s="305">
        <f>Input!H187</f>
        <v>10560</v>
      </c>
      <c r="F512" s="3"/>
      <c r="G512" s="2" t="s">
        <v>187</v>
      </c>
      <c r="J512" s="107"/>
    </row>
    <row r="513" spans="3:10" ht="15">
      <c r="C513" s="2"/>
      <c r="D513" s="13" t="s">
        <v>110</v>
      </c>
      <c r="E513" s="121">
        <f>Input!J185</f>
        <v>0</v>
      </c>
      <c r="F513" s="3"/>
      <c r="G513" s="2" t="s">
        <v>119</v>
      </c>
      <c r="J513" s="108"/>
    </row>
    <row r="514" spans="3:10" ht="15">
      <c r="C514" s="2"/>
      <c r="D514" s="13" t="s">
        <v>63</v>
      </c>
      <c r="E514" s="121">
        <f>Input!I185</f>
        <v>20</v>
      </c>
      <c r="F514" s="3"/>
      <c r="G514" s="2" t="s">
        <v>188</v>
      </c>
      <c r="J514" s="108"/>
    </row>
    <row r="515" spans="3:10" ht="15">
      <c r="C515" s="2"/>
      <c r="D515" s="13" t="s">
        <v>63</v>
      </c>
      <c r="E515" s="281">
        <f>Input!H10</f>
        <v>500</v>
      </c>
      <c r="F515" s="3"/>
      <c r="G515" s="23" t="s">
        <v>41</v>
      </c>
      <c r="J515" s="108"/>
    </row>
    <row r="516" spans="3:10" ht="15">
      <c r="C516" s="2"/>
      <c r="D516" s="13" t="s">
        <v>64</v>
      </c>
      <c r="E516" s="294">
        <f>((E512-E513)/E514)/E515</f>
        <v>1.056</v>
      </c>
      <c r="F516" s="3"/>
      <c r="G516" s="3" t="s">
        <v>38</v>
      </c>
      <c r="J516" s="108"/>
    </row>
    <row r="517" spans="4:11" ht="15.75">
      <c r="D517" s="32"/>
      <c r="E517" s="280"/>
      <c r="F517" s="2"/>
      <c r="G517" s="3"/>
      <c r="K517" s="110"/>
    </row>
    <row r="518" spans="2:10" ht="15.75">
      <c r="B518" s="2" t="s">
        <v>192</v>
      </c>
      <c r="C518" s="2"/>
      <c r="D518" s="33"/>
      <c r="E518" s="305">
        <f>Input!H187</f>
        <v>10560</v>
      </c>
      <c r="F518" s="3"/>
      <c r="G518" s="2" t="s">
        <v>187</v>
      </c>
      <c r="J518" s="107"/>
    </row>
    <row r="519" spans="3:10" ht="15">
      <c r="C519" s="2"/>
      <c r="D519" s="13" t="s">
        <v>87</v>
      </c>
      <c r="E519" s="121">
        <f>Input!J185</f>
        <v>0</v>
      </c>
      <c r="F519" s="3"/>
      <c r="G519" s="2" t="s">
        <v>119</v>
      </c>
      <c r="J519" s="108"/>
    </row>
    <row r="520" spans="3:10" ht="15">
      <c r="C520" s="2"/>
      <c r="D520" s="13" t="s">
        <v>63</v>
      </c>
      <c r="E520" s="121">
        <v>2</v>
      </c>
      <c r="F520" s="3"/>
      <c r="G520" s="2" t="s">
        <v>115</v>
      </c>
      <c r="J520" s="108"/>
    </row>
    <row r="521" spans="3:10" ht="15">
      <c r="C521" s="2"/>
      <c r="D521" s="13" t="s">
        <v>62</v>
      </c>
      <c r="E521" s="304">
        <f>Input!H158</f>
        <v>0.0275</v>
      </c>
      <c r="F521" s="3"/>
      <c r="G521" s="2" t="s">
        <v>185</v>
      </c>
      <c r="J521" s="108"/>
    </row>
    <row r="522" spans="3:10" ht="15">
      <c r="C522" s="2"/>
      <c r="D522" s="13" t="s">
        <v>63</v>
      </c>
      <c r="E522" s="281">
        <f>Input!H10</f>
        <v>500</v>
      </c>
      <c r="F522" s="3"/>
      <c r="G522" s="23" t="s">
        <v>41</v>
      </c>
      <c r="J522" s="108"/>
    </row>
    <row r="523" spans="3:10" ht="15">
      <c r="C523" s="2"/>
      <c r="D523" s="13" t="s">
        <v>64</v>
      </c>
      <c r="E523" s="294">
        <f>(((E518+E519)/E520)*E521)/E522</f>
        <v>0.2904</v>
      </c>
      <c r="F523" s="3"/>
      <c r="G523" s="3" t="s">
        <v>38</v>
      </c>
      <c r="J523" s="108"/>
    </row>
    <row r="524" spans="3:11" ht="15.75">
      <c r="C524" s="2"/>
      <c r="D524" s="32"/>
      <c r="E524" s="280"/>
      <c r="F524" s="2"/>
      <c r="G524" s="3"/>
      <c r="K524" s="110"/>
    </row>
    <row r="525" spans="3:10" ht="15.75">
      <c r="C525" s="32" t="s">
        <v>19</v>
      </c>
      <c r="D525" s="33" t="s">
        <v>64</v>
      </c>
      <c r="E525" s="306">
        <f>E506+E510+E516+E523</f>
        <v>5.2864</v>
      </c>
      <c r="F525" s="3"/>
      <c r="G525" s="1" t="s">
        <v>38</v>
      </c>
      <c r="J525" s="107"/>
    </row>
    <row r="526" spans="3:7" ht="15.75">
      <c r="C526" s="2"/>
      <c r="D526" s="32"/>
      <c r="E526" s="280"/>
      <c r="F526" s="2"/>
      <c r="G526" s="3"/>
    </row>
    <row r="527" spans="2:11" ht="15.75">
      <c r="B527" s="20" t="s">
        <v>189</v>
      </c>
      <c r="C527" s="2"/>
      <c r="D527" s="32"/>
      <c r="E527" s="280"/>
      <c r="F527" s="2"/>
      <c r="G527" s="3"/>
      <c r="K527" s="110"/>
    </row>
    <row r="528" spans="3:10" ht="15.75">
      <c r="C528" s="2"/>
      <c r="D528" s="33"/>
      <c r="E528" s="121">
        <f>Input!H193</f>
        <v>2.25</v>
      </c>
      <c r="F528" s="3"/>
      <c r="G528" s="2" t="s">
        <v>207</v>
      </c>
      <c r="J528" s="107"/>
    </row>
    <row r="529" spans="3:10" ht="15.75">
      <c r="C529" s="2"/>
      <c r="D529" s="69" t="s">
        <v>62</v>
      </c>
      <c r="E529" s="307">
        <f>Input!H194</f>
        <v>22</v>
      </c>
      <c r="F529" s="23"/>
      <c r="G529" s="21" t="s">
        <v>190</v>
      </c>
      <c r="J529" s="108"/>
    </row>
    <row r="530" spans="3:10" ht="15.75">
      <c r="C530" s="2"/>
      <c r="D530" s="33" t="s">
        <v>64</v>
      </c>
      <c r="E530" s="306">
        <f>E528*E529</f>
        <v>49.5</v>
      </c>
      <c r="F530" s="3"/>
      <c r="G530" s="1" t="s">
        <v>38</v>
      </c>
      <c r="J530" s="108"/>
    </row>
    <row r="531" ht="15">
      <c r="C531" s="2"/>
    </row>
    <row r="532" spans="2:11" ht="15.75">
      <c r="B532" s="1" t="s">
        <v>374</v>
      </c>
      <c r="C532" s="2"/>
      <c r="D532" s="2"/>
      <c r="E532" s="121"/>
      <c r="F532" s="2"/>
      <c r="K532" s="110"/>
    </row>
    <row r="533" spans="3:10" ht="15">
      <c r="C533" s="2"/>
      <c r="D533" s="2"/>
      <c r="E533" s="121">
        <f>Input!H10+Input!H11</f>
        <v>513</v>
      </c>
      <c r="F533" s="2"/>
      <c r="G533" s="3" t="s">
        <v>204</v>
      </c>
      <c r="J533" s="107"/>
    </row>
    <row r="534" spans="3:10" ht="15">
      <c r="C534" s="2"/>
      <c r="D534" s="2" t="s">
        <v>62</v>
      </c>
      <c r="E534" s="121">
        <f>Input!H23</f>
        <v>5</v>
      </c>
      <c r="F534" s="2"/>
      <c r="G534" s="3" t="s">
        <v>259</v>
      </c>
      <c r="J534" s="108"/>
    </row>
    <row r="535" spans="3:10" ht="15">
      <c r="C535" s="2"/>
      <c r="D535" s="2" t="s">
        <v>62</v>
      </c>
      <c r="E535" s="278">
        <f>Input!H24</f>
        <v>0.75</v>
      </c>
      <c r="F535" s="2"/>
      <c r="G535" s="3" t="s">
        <v>254</v>
      </c>
      <c r="J535" s="108"/>
    </row>
    <row r="536" spans="3:10" ht="15">
      <c r="C536" s="2"/>
      <c r="D536" s="26" t="s">
        <v>63</v>
      </c>
      <c r="E536" s="281">
        <f>Input!$H$10</f>
        <v>500</v>
      </c>
      <c r="F536" s="21"/>
      <c r="G536" s="23" t="s">
        <v>41</v>
      </c>
      <c r="J536" s="108"/>
    </row>
    <row r="537" spans="3:10" ht="15.75">
      <c r="C537" s="2"/>
      <c r="D537" s="32" t="s">
        <v>64</v>
      </c>
      <c r="E537" s="280">
        <f>((E533*E534)*E535)/E536</f>
        <v>3.8475</v>
      </c>
      <c r="F537" s="20"/>
      <c r="G537" s="1" t="s">
        <v>38</v>
      </c>
      <c r="J537" s="108"/>
    </row>
    <row r="538" spans="3:11" ht="15.75">
      <c r="C538" s="2"/>
      <c r="D538" s="32"/>
      <c r="E538" s="280"/>
      <c r="F538" s="20"/>
      <c r="G538" s="1"/>
      <c r="K538" s="110"/>
    </row>
    <row r="539" spans="1:11" ht="15.75">
      <c r="A539" s="131" t="s">
        <v>375</v>
      </c>
      <c r="C539" s="2"/>
      <c r="D539" s="32"/>
      <c r="E539" s="280"/>
      <c r="F539" s="20"/>
      <c r="G539" s="1"/>
      <c r="K539" s="110"/>
    </row>
    <row r="540" spans="1:11" ht="15.75">
      <c r="A540" s="104" t="str">
        <f>"Gross Revenue per lamb =  lamb weight ("&amp;Input!H19&amp;"lbs) x "&amp;Input!H20*100&amp;"% shrink x $"&amp;Input!H22&amp;"/cwt"</f>
        <v>Gross Revenue per lamb =  lamb weight (110lbs) x 3% shrink x $220/cwt</v>
      </c>
      <c r="C540" s="2"/>
      <c r="D540" s="32"/>
      <c r="E540" s="280"/>
      <c r="F540" s="20"/>
      <c r="G540" s="1"/>
      <c r="K540" s="110"/>
    </row>
    <row r="541" spans="1:11" ht="15.75">
      <c r="A541" s="104" t="str">
        <f>"Operating Expense Ratio =  ($"&amp;TEXT(Summary!F29,"0.00")&amp;" operating cost / $"&amp;TEXT(Summary!F54,"0.00")&amp;" gross revenue) x 100"</f>
        <v>Operating Expense Ratio =  ($144.84 operating cost / $236.81 gross revenue) x 100</v>
      </c>
      <c r="C541" s="2"/>
      <c r="D541" s="32"/>
      <c r="E541" s="280"/>
      <c r="F541" s="20"/>
      <c r="G541" s="1"/>
      <c r="K541" s="110"/>
    </row>
    <row r="542" spans="1:11" ht="15.75">
      <c r="A542" s="104" t="str">
        <f>"Breakeven Price $/cwt = Cost - $"&amp;TEXT(Summary!F53,"0.00")&amp;" wool value ÷  shrunk lamb market weight ("&amp;Input!H21/100&amp;" cwt)"</f>
        <v>Breakeven Price $/cwt = Cost - $2.07 wool value ÷  shrunk lamb market weight (1.067 cwt)</v>
      </c>
      <c r="C542" s="2"/>
      <c r="D542" s="32"/>
      <c r="E542" s="280"/>
      <c r="F542" s="20"/>
      <c r="G542" s="1"/>
      <c r="K542" s="110"/>
    </row>
    <row r="543" s="363" customFormat="1" ht="15.75" customHeight="1">
      <c r="A543" s="362" t="s">
        <v>489</v>
      </c>
    </row>
    <row r="544" s="363" customFormat="1" ht="15.75" customHeight="1">
      <c r="A544" s="362" t="str">
        <f>"   (eg. ($"&amp;TEXT(Summary!J54,"#,###")&amp;" gross revenue - $"&amp;TEXT(Summary!J46,"#,###")&amp;" total cost) / $"&amp;TEXT(Summary!J46,"#,###")&amp;" total cost = "&amp;TEXT(Summary!F63*100,"0.0")&amp;"%)"</f>
        <v>   (eg. ($220,467 gross revenue - $178,759 total cost) / $178,759 total cost = 23.3%)</v>
      </c>
    </row>
    <row r="545" spans="1:12" s="363" customFormat="1" ht="13.5" customHeight="1">
      <c r="A545" s="384" t="str">
        <f>"Estimated Return on Asset (ROA) = (Margin Over Operating - Labour - Machinery Depreciation - Building Depreciation) / Total Capital Investment    (eg. ($"&amp;TEXT(Summary!J57,"#,###")&amp;" margin - $"&amp;TEXT(Summary!J44,"3,#,###")&amp;" labour - $"&amp;TEXT(Summary!J34,"#,###")&amp;" machinery depreciation $"&amp;TEXT(Summary!J33,"#,###")&amp;" building depreciation) /  $"&amp;TEXT(Input!H190,"#,###")&amp;" total capital investment  = "&amp;TEXT(Summary!F64*100,".00")&amp;"%) "</f>
        <v>Estimated Return on Asset (ROA) = (Margin Over Operating - Labour - Machinery Depreciation - Building Depreciation) / Total Capital Investment    (eg. ($85,634 margin - $324,750 labour - $4,900 machinery depreciation $4,955 building depreciation) /  $412,260 total capital investment  = 12.38%) </v>
      </c>
      <c r="B545" s="384"/>
      <c r="C545" s="384"/>
      <c r="D545" s="384"/>
      <c r="E545" s="384"/>
      <c r="F545" s="384"/>
      <c r="G545" s="384"/>
      <c r="H545" s="384"/>
      <c r="I545" s="384"/>
      <c r="J545" s="384"/>
      <c r="K545" s="384"/>
      <c r="L545" s="384"/>
    </row>
    <row r="546" spans="1:12" ht="13.5" customHeight="1">
      <c r="A546" s="384"/>
      <c r="B546" s="384"/>
      <c r="C546" s="384"/>
      <c r="D546" s="384"/>
      <c r="E546" s="384"/>
      <c r="F546" s="384"/>
      <c r="G546" s="384"/>
      <c r="H546" s="384"/>
      <c r="I546" s="384"/>
      <c r="J546" s="384"/>
      <c r="K546" s="384"/>
      <c r="L546" s="384"/>
    </row>
    <row r="547" spans="1:12" ht="13.5" customHeight="1">
      <c r="A547" s="384"/>
      <c r="B547" s="384"/>
      <c r="C547" s="384"/>
      <c r="D547" s="384"/>
      <c r="E547" s="384"/>
      <c r="F547" s="384"/>
      <c r="G547" s="384"/>
      <c r="H547" s="384"/>
      <c r="I547" s="384"/>
      <c r="J547" s="384"/>
      <c r="K547" s="384"/>
      <c r="L547" s="384"/>
    </row>
    <row r="548" spans="1:12" s="217" customFormat="1" ht="16.5" customHeight="1">
      <c r="A548" s="218" t="s">
        <v>402</v>
      </c>
      <c r="C548" s="218"/>
      <c r="D548" s="218"/>
      <c r="E548" s="308"/>
      <c r="L548" s="241" t="str">
        <f>Introduction!I10</f>
        <v>May, 2018</v>
      </c>
    </row>
    <row r="549" spans="1:12" s="221" customFormat="1" ht="7.5" customHeight="1">
      <c r="A549" s="251"/>
      <c r="B549" s="219"/>
      <c r="C549" s="219"/>
      <c r="D549" s="219"/>
      <c r="E549" s="309"/>
      <c r="F549" s="219"/>
      <c r="G549" s="220"/>
      <c r="H549" s="220"/>
      <c r="I549" s="220"/>
      <c r="J549" s="251"/>
      <c r="K549" s="251"/>
      <c r="L549" s="220"/>
    </row>
    <row r="550" spans="1:5" s="222" customFormat="1" ht="23.25" customHeight="1">
      <c r="A550" s="223" t="s">
        <v>403</v>
      </c>
      <c r="C550" s="224"/>
      <c r="D550" s="224"/>
      <c r="E550" s="310"/>
    </row>
    <row r="551" spans="2:5" s="222" customFormat="1" ht="7.5" customHeight="1">
      <c r="B551" s="223"/>
      <c r="C551" s="224"/>
      <c r="D551" s="224"/>
      <c r="E551" s="310"/>
    </row>
    <row r="552" spans="1:10" s="226" customFormat="1" ht="15">
      <c r="A552" s="227" t="s">
        <v>420</v>
      </c>
      <c r="E552" s="311" t="s">
        <v>421</v>
      </c>
      <c r="J552" s="263" t="s">
        <v>415</v>
      </c>
    </row>
    <row r="553" spans="1:10" s="229" customFormat="1" ht="14.25">
      <c r="A553" s="228" t="s">
        <v>422</v>
      </c>
      <c r="E553" s="312" t="s">
        <v>423</v>
      </c>
      <c r="J553" s="264" t="s">
        <v>416</v>
      </c>
    </row>
    <row r="554" s="229" customFormat="1" ht="7.5" customHeight="1">
      <c r="E554" s="312"/>
    </row>
    <row r="555" spans="1:5" s="225" customFormat="1" ht="15">
      <c r="A555" s="227" t="s">
        <v>372</v>
      </c>
      <c r="E555" s="313" t="s">
        <v>435</v>
      </c>
    </row>
    <row r="556" spans="1:8" s="228" customFormat="1" ht="14.25">
      <c r="A556" s="264" t="s">
        <v>416</v>
      </c>
      <c r="C556" s="230"/>
      <c r="D556" s="230"/>
      <c r="E556" s="264" t="s">
        <v>434</v>
      </c>
      <c r="F556" s="230"/>
      <c r="H556" s="230"/>
    </row>
    <row r="557" spans="1:10" s="236" customFormat="1" ht="7.5" customHeight="1">
      <c r="A557" s="228"/>
      <c r="B557" s="234"/>
      <c r="C557" s="234"/>
      <c r="D557" s="235"/>
      <c r="E557" s="314"/>
      <c r="F557" s="235"/>
      <c r="G557" s="235"/>
      <c r="H557" s="235"/>
      <c r="I557" s="235"/>
      <c r="J557" s="235"/>
    </row>
    <row r="558" spans="1:10" s="239" customFormat="1" ht="15" customHeight="1">
      <c r="A558" s="233"/>
      <c r="B558" s="231"/>
      <c r="C558" s="237"/>
      <c r="D558" s="237"/>
      <c r="E558" s="315"/>
      <c r="F558" s="238"/>
      <c r="G558" s="237"/>
      <c r="H558" s="237"/>
      <c r="I558" s="237"/>
      <c r="J558" s="237"/>
    </row>
    <row r="559" spans="2:10" s="236" customFormat="1" ht="15" customHeight="1">
      <c r="B559" s="226"/>
      <c r="C559" s="226"/>
      <c r="D559" s="226"/>
      <c r="E559" s="316"/>
      <c r="F559" s="232"/>
      <c r="G559" s="232"/>
      <c r="H559" s="232"/>
      <c r="I559" s="232"/>
      <c r="J559" s="240"/>
    </row>
    <row r="560" spans="2:10" s="77" customFormat="1" ht="15" customHeight="1">
      <c r="B560" s="229"/>
      <c r="C560" s="229"/>
      <c r="D560" s="229"/>
      <c r="E560" s="317"/>
      <c r="F560" s="123"/>
      <c r="G560" s="123"/>
      <c r="H560" s="123"/>
      <c r="I560" s="123"/>
      <c r="J560" s="123"/>
    </row>
    <row r="561" spans="1:10" s="125" customFormat="1" ht="15" customHeight="1">
      <c r="A561" s="122"/>
      <c r="B561" s="124"/>
      <c r="C561" s="124"/>
      <c r="D561" s="124"/>
      <c r="E561" s="318"/>
      <c r="F561" s="124"/>
      <c r="H561" s="124"/>
      <c r="I561" s="124"/>
      <c r="J561" s="123"/>
    </row>
    <row r="562" spans="1:10" s="125" customFormat="1" ht="15" customHeight="1">
      <c r="A562" s="76"/>
      <c r="C562" s="124"/>
      <c r="D562" s="124"/>
      <c r="E562" s="318"/>
      <c r="F562" s="124"/>
      <c r="G562" s="124"/>
      <c r="H562" s="124"/>
      <c r="I562" s="124"/>
      <c r="J562" s="123"/>
    </row>
    <row r="563" spans="1:10" s="125" customFormat="1" ht="15" customHeight="1">
      <c r="A563" s="76"/>
      <c r="B563" s="124"/>
      <c r="C563" s="124"/>
      <c r="D563" s="124"/>
      <c r="E563" s="318"/>
      <c r="F563" s="124"/>
      <c r="G563" s="124"/>
      <c r="H563" s="124"/>
      <c r="I563" s="124"/>
      <c r="J563" s="123"/>
    </row>
    <row r="564" spans="1:10" s="125" customFormat="1" ht="15" customHeight="1">
      <c r="A564" s="76"/>
      <c r="B564" s="124"/>
      <c r="C564" s="124"/>
      <c r="D564" s="124"/>
      <c r="E564" s="318"/>
      <c r="F564" s="124"/>
      <c r="G564" s="124"/>
      <c r="H564" s="124"/>
      <c r="I564" s="124"/>
      <c r="J564" s="123"/>
    </row>
    <row r="565" spans="1:10" s="125" customFormat="1" ht="15" customHeight="1">
      <c r="A565" s="76"/>
      <c r="C565" s="124"/>
      <c r="D565" s="124"/>
      <c r="E565" s="318"/>
      <c r="F565" s="124"/>
      <c r="G565" s="124"/>
      <c r="H565" s="124"/>
      <c r="I565" s="124"/>
      <c r="J565" s="76"/>
    </row>
    <row r="566" spans="1:10" s="125" customFormat="1" ht="15" customHeight="1">
      <c r="A566" s="76"/>
      <c r="B566" s="124"/>
      <c r="C566" s="124"/>
      <c r="D566" s="124"/>
      <c r="E566" s="318"/>
      <c r="F566" s="124"/>
      <c r="I566" s="124"/>
      <c r="J566" s="76"/>
    </row>
    <row r="567" spans="1:6" ht="15">
      <c r="A567" s="76"/>
      <c r="B567" s="2"/>
      <c r="D567" s="2"/>
      <c r="E567" s="121"/>
      <c r="F567" s="2"/>
    </row>
    <row r="568" spans="2:7" ht="15">
      <c r="B568" s="2"/>
      <c r="D568" s="2"/>
      <c r="E568" s="121"/>
      <c r="F568" s="2"/>
      <c r="G568" s="3"/>
    </row>
    <row r="569" spans="2:7" ht="15">
      <c r="B569" s="2"/>
      <c r="D569" s="2"/>
      <c r="E569" s="121"/>
      <c r="F569" s="2"/>
      <c r="G569" s="3"/>
    </row>
    <row r="570" spans="2:7" ht="15">
      <c r="B570" s="2"/>
      <c r="D570" s="3"/>
      <c r="E570" s="121"/>
      <c r="F570" s="2"/>
      <c r="G570" s="3"/>
    </row>
    <row r="571" spans="2:7" ht="15">
      <c r="B571" s="2"/>
      <c r="D571" s="2"/>
      <c r="E571" s="121"/>
      <c r="F571" s="2"/>
      <c r="G571" s="3"/>
    </row>
    <row r="572" spans="2:7" ht="15">
      <c r="B572" s="3"/>
      <c r="D572" s="2"/>
      <c r="E572" s="121"/>
      <c r="F572" s="2"/>
      <c r="G572" s="3"/>
    </row>
    <row r="573" spans="2:7" ht="15">
      <c r="B573" s="2"/>
      <c r="D573" s="2"/>
      <c r="E573" s="121"/>
      <c r="F573" s="2"/>
      <c r="G573" s="3"/>
    </row>
    <row r="574" spans="2:7" ht="15">
      <c r="B574" s="2"/>
      <c r="D574" s="2"/>
      <c r="E574" s="121"/>
      <c r="F574" s="2"/>
      <c r="G574" s="3"/>
    </row>
    <row r="575" spans="2:7" ht="15">
      <c r="B575" s="2"/>
      <c r="D575" s="2"/>
      <c r="E575" s="121"/>
      <c r="F575" s="2"/>
      <c r="G575" s="3"/>
    </row>
    <row r="576" spans="2:7" ht="15">
      <c r="B576" s="2"/>
      <c r="D576" s="2"/>
      <c r="E576" s="121"/>
      <c r="F576" s="2"/>
      <c r="G576" s="3"/>
    </row>
    <row r="577" spans="2:7" ht="15">
      <c r="B577" s="2"/>
      <c r="D577" s="2"/>
      <c r="E577" s="121"/>
      <c r="F577" s="2"/>
      <c r="G577" s="3"/>
    </row>
    <row r="578" spans="2:7" ht="15">
      <c r="B578" s="2"/>
      <c r="D578" s="2"/>
      <c r="E578" s="121"/>
      <c r="F578" s="2"/>
      <c r="G578" s="3"/>
    </row>
    <row r="579" spans="2:6" ht="15">
      <c r="B579" s="2"/>
      <c r="C579" s="2"/>
      <c r="D579" s="2"/>
      <c r="E579" s="121"/>
      <c r="F579" s="2"/>
    </row>
    <row r="580" spans="2:6" ht="15">
      <c r="B580" s="2"/>
      <c r="C580" s="2"/>
      <c r="D580" s="2"/>
      <c r="E580" s="121"/>
      <c r="F580" s="2"/>
    </row>
    <row r="581" spans="2:6" ht="15">
      <c r="B581" s="3"/>
      <c r="C581" s="2"/>
      <c r="D581" s="2"/>
      <c r="E581" s="283"/>
      <c r="F581" s="2"/>
    </row>
    <row r="582" spans="2:6" ht="15">
      <c r="B582" s="2"/>
      <c r="C582" s="3"/>
      <c r="D582" s="2"/>
      <c r="E582" s="121"/>
      <c r="F582" s="2"/>
    </row>
    <row r="583" spans="2:6" ht="15">
      <c r="B583" s="9"/>
      <c r="C583" s="2"/>
      <c r="D583" s="2"/>
      <c r="E583" s="121"/>
      <c r="F583" s="2"/>
    </row>
    <row r="584" spans="2:6" ht="15">
      <c r="B584" s="2"/>
      <c r="C584" s="2"/>
      <c r="D584" s="9"/>
      <c r="E584" s="121"/>
      <c r="F584" s="2"/>
    </row>
    <row r="585" spans="2:6" ht="15">
      <c r="B585" s="11"/>
      <c r="C585" s="2"/>
      <c r="D585" s="2"/>
      <c r="E585" s="121"/>
      <c r="F585" s="2"/>
    </row>
    <row r="586" spans="2:6" ht="15.75">
      <c r="B586" s="2"/>
      <c r="C586" s="1"/>
      <c r="D586" s="2"/>
      <c r="E586" s="121"/>
      <c r="F586" s="2"/>
    </row>
    <row r="587" spans="2:6" ht="15">
      <c r="B587" s="3"/>
      <c r="C587" s="2"/>
      <c r="D587" s="2"/>
      <c r="E587" s="121"/>
      <c r="F587" s="2"/>
    </row>
    <row r="588" spans="2:6" ht="15">
      <c r="B588" s="2"/>
      <c r="C588" s="2"/>
      <c r="D588" s="3"/>
      <c r="E588" s="121"/>
      <c r="F588" s="2"/>
    </row>
    <row r="589" spans="2:6" ht="15">
      <c r="B589" s="8"/>
      <c r="C589" s="2"/>
      <c r="D589" s="2"/>
      <c r="E589" s="121"/>
      <c r="F589" s="2"/>
    </row>
    <row r="590" spans="2:6" ht="15">
      <c r="B590" s="2"/>
      <c r="C590" s="2"/>
      <c r="D590" s="3"/>
      <c r="E590" s="121"/>
      <c r="F590" s="2"/>
    </row>
    <row r="591" spans="2:6" ht="15">
      <c r="B591" s="3"/>
      <c r="C591" s="2"/>
      <c r="D591" s="2"/>
      <c r="E591" s="121"/>
      <c r="F591" s="2"/>
    </row>
    <row r="592" spans="2:6" ht="15">
      <c r="B592" s="3"/>
      <c r="C592" s="2"/>
      <c r="D592" s="2"/>
      <c r="E592" s="121"/>
      <c r="F592" s="2"/>
    </row>
    <row r="593" spans="2:6" ht="15">
      <c r="B593" s="2"/>
      <c r="C593" s="3"/>
      <c r="D593" s="2"/>
      <c r="E593" s="121"/>
      <c r="F593" s="2"/>
    </row>
    <row r="594" spans="2:6" ht="15">
      <c r="B594" s="2"/>
      <c r="C594" s="3"/>
      <c r="D594" s="2"/>
      <c r="E594" s="121"/>
      <c r="F594" s="2"/>
    </row>
    <row r="595" spans="2:6" ht="15">
      <c r="B595" s="3"/>
      <c r="C595" s="2"/>
      <c r="D595" s="2"/>
      <c r="E595" s="121"/>
      <c r="F595" s="2"/>
    </row>
    <row r="596" spans="2:6" ht="15">
      <c r="B596" s="2"/>
      <c r="C596" s="2"/>
      <c r="D596" s="3"/>
      <c r="E596" s="121"/>
      <c r="F596" s="2"/>
    </row>
    <row r="597" spans="2:6" ht="15">
      <c r="B597" s="8"/>
      <c r="C597" s="2"/>
      <c r="D597" s="2"/>
      <c r="E597" s="121"/>
      <c r="F597" s="2"/>
    </row>
    <row r="598" spans="2:6" ht="15">
      <c r="B598" s="2"/>
      <c r="C598" s="2"/>
      <c r="D598" s="3"/>
      <c r="E598" s="121"/>
      <c r="F598" s="2"/>
    </row>
    <row r="599" spans="2:6" ht="15">
      <c r="B599" s="3"/>
      <c r="C599" s="2"/>
      <c r="D599" s="2"/>
      <c r="E599" s="121"/>
      <c r="F599" s="2"/>
    </row>
    <row r="600" spans="2:6" ht="15">
      <c r="B600" s="3"/>
      <c r="C600" s="2"/>
      <c r="D600" s="2"/>
      <c r="E600" s="121"/>
      <c r="F600" s="2"/>
    </row>
    <row r="601" spans="2:6" ht="15">
      <c r="B601" s="2"/>
      <c r="C601" s="3"/>
      <c r="D601" s="2"/>
      <c r="E601" s="121"/>
      <c r="F601" s="2"/>
    </row>
    <row r="602" spans="2:6" ht="15">
      <c r="B602" s="3"/>
      <c r="C602" s="2"/>
      <c r="D602" s="2"/>
      <c r="E602" s="121"/>
      <c r="F602" s="2"/>
    </row>
    <row r="603" spans="2:6" ht="15">
      <c r="B603" s="2"/>
      <c r="C603" s="2"/>
      <c r="D603" s="3"/>
      <c r="E603" s="121"/>
      <c r="F603" s="2"/>
    </row>
    <row r="604" spans="2:6" ht="15">
      <c r="B604" s="8"/>
      <c r="C604" s="2"/>
      <c r="D604" s="2"/>
      <c r="E604" s="121"/>
      <c r="F604" s="2"/>
    </row>
    <row r="605" spans="2:6" ht="15">
      <c r="B605" s="2"/>
      <c r="C605" s="2"/>
      <c r="D605" s="3"/>
      <c r="E605" s="121"/>
      <c r="F605" s="2"/>
    </row>
    <row r="606" spans="2:6" ht="15">
      <c r="B606" s="3"/>
      <c r="C606" s="2"/>
      <c r="D606" s="2"/>
      <c r="E606" s="121"/>
      <c r="F606" s="2"/>
    </row>
    <row r="607" spans="2:6" ht="15">
      <c r="B607" s="3"/>
      <c r="C607" s="2"/>
      <c r="D607" s="2"/>
      <c r="E607" s="121"/>
      <c r="F607" s="2"/>
    </row>
    <row r="608" spans="2:6" ht="15">
      <c r="B608" s="2"/>
      <c r="C608" s="3"/>
      <c r="D608" s="2"/>
      <c r="E608" s="121"/>
      <c r="F608" s="2"/>
    </row>
    <row r="609" spans="2:6" ht="15">
      <c r="B609" s="3"/>
      <c r="C609" s="2"/>
      <c r="D609" s="2"/>
      <c r="E609" s="121"/>
      <c r="F609" s="2"/>
    </row>
    <row r="610" spans="2:6" ht="15">
      <c r="B610" s="2"/>
      <c r="C610" s="2"/>
      <c r="D610" s="3"/>
      <c r="E610" s="121"/>
      <c r="F610" s="2"/>
    </row>
    <row r="611" spans="2:6" ht="15">
      <c r="B611" s="8"/>
      <c r="C611" s="2"/>
      <c r="D611" s="2"/>
      <c r="E611" s="121"/>
      <c r="F611" s="2"/>
    </row>
    <row r="612" spans="2:6" ht="15">
      <c r="B612" s="2"/>
      <c r="C612" s="2"/>
      <c r="D612" s="3"/>
      <c r="E612" s="121"/>
      <c r="F612" s="2"/>
    </row>
    <row r="613" spans="2:6" ht="15">
      <c r="B613" s="3"/>
      <c r="C613" s="2"/>
      <c r="D613" s="2"/>
      <c r="E613" s="121"/>
      <c r="F613" s="2"/>
    </row>
    <row r="614" spans="2:6" ht="15">
      <c r="B614" s="3"/>
      <c r="C614" s="2"/>
      <c r="D614" s="2"/>
      <c r="E614" s="121"/>
      <c r="F614" s="2"/>
    </row>
    <row r="615" spans="2:6" ht="15">
      <c r="B615" s="2"/>
      <c r="C615" s="2"/>
      <c r="D615" s="2"/>
      <c r="E615" s="121"/>
      <c r="F615" s="2"/>
    </row>
    <row r="616" spans="2:6" ht="15">
      <c r="B616" s="2"/>
      <c r="C616" s="2"/>
      <c r="D616" s="2"/>
      <c r="E616" s="121"/>
      <c r="F616" s="2"/>
    </row>
    <row r="617" spans="2:6" ht="15">
      <c r="B617" s="2"/>
      <c r="C617" s="2"/>
      <c r="D617" s="2"/>
      <c r="E617" s="121"/>
      <c r="F617" s="2"/>
    </row>
    <row r="618" spans="2:6" ht="15">
      <c r="B618" s="2"/>
      <c r="C618" s="2"/>
      <c r="D618" s="2"/>
      <c r="E618" s="121"/>
      <c r="F618" s="2"/>
    </row>
    <row r="619" spans="2:6" ht="15">
      <c r="B619" s="3"/>
      <c r="C619" s="2"/>
      <c r="D619" s="2"/>
      <c r="E619" s="121"/>
      <c r="F619" s="2"/>
    </row>
    <row r="620" spans="2:6" ht="15.75">
      <c r="B620" s="1"/>
      <c r="C620" s="2"/>
      <c r="D620" s="2"/>
      <c r="E620" s="121"/>
      <c r="F620" s="2"/>
    </row>
    <row r="621" spans="2:6" ht="15">
      <c r="B621" s="3"/>
      <c r="C621" s="2"/>
      <c r="D621" s="2"/>
      <c r="E621" s="121"/>
      <c r="F621" s="2"/>
    </row>
    <row r="622" spans="2:6" ht="15">
      <c r="B622" s="3"/>
      <c r="C622" s="2"/>
      <c r="D622" s="2"/>
      <c r="E622" s="121"/>
      <c r="F622" s="2"/>
    </row>
    <row r="623" spans="2:6" ht="15">
      <c r="B623" s="3"/>
      <c r="C623" s="2"/>
      <c r="D623" s="2"/>
      <c r="E623" s="121"/>
      <c r="F623" s="2"/>
    </row>
    <row r="624" spans="2:6" ht="15">
      <c r="B624" s="3"/>
      <c r="C624" s="2"/>
      <c r="D624" s="2"/>
      <c r="E624" s="121"/>
      <c r="F624" s="2"/>
    </row>
    <row r="625" spans="2:6" ht="15.75">
      <c r="B625" s="1"/>
      <c r="C625" s="2"/>
      <c r="D625" s="2"/>
      <c r="E625" s="121"/>
      <c r="F625" s="2"/>
    </row>
    <row r="626" spans="2:6" ht="15.75">
      <c r="B626" s="1"/>
      <c r="C626" s="2"/>
      <c r="D626" s="2"/>
      <c r="E626" s="121"/>
      <c r="F626" s="2"/>
    </row>
    <row r="627" spans="2:6" ht="15">
      <c r="B627" s="3"/>
      <c r="C627" s="2"/>
      <c r="D627" s="2"/>
      <c r="E627" s="121"/>
      <c r="F627" s="2"/>
    </row>
    <row r="628" spans="2:6" ht="15">
      <c r="B628" s="3"/>
      <c r="C628" s="2"/>
      <c r="D628" s="2"/>
      <c r="E628" s="121"/>
      <c r="F628" s="2"/>
    </row>
    <row r="629" spans="2:6" ht="15">
      <c r="B629" s="3"/>
      <c r="C629" s="2"/>
      <c r="D629" s="2"/>
      <c r="E629" s="121"/>
      <c r="F629" s="2"/>
    </row>
    <row r="630" spans="2:6" ht="15">
      <c r="B630" s="3"/>
      <c r="C630" s="2"/>
      <c r="D630" s="2"/>
      <c r="E630" s="121"/>
      <c r="F630" s="2"/>
    </row>
    <row r="631" spans="2:6" ht="15">
      <c r="B631" s="3"/>
      <c r="C631" s="2"/>
      <c r="D631" s="2"/>
      <c r="E631" s="121"/>
      <c r="F631" s="2"/>
    </row>
    <row r="632" spans="2:6" ht="15">
      <c r="B632" s="3"/>
      <c r="C632" s="2"/>
      <c r="D632" s="2"/>
      <c r="E632" s="121"/>
      <c r="F632" s="2"/>
    </row>
    <row r="633" spans="2:6" ht="15">
      <c r="B633" s="3"/>
      <c r="C633" s="2"/>
      <c r="D633" s="2"/>
      <c r="E633" s="121"/>
      <c r="F633" s="2"/>
    </row>
    <row r="634" spans="2:6" ht="15">
      <c r="B634" s="3"/>
      <c r="C634" s="2"/>
      <c r="D634" s="2"/>
      <c r="E634" s="121"/>
      <c r="F634" s="2"/>
    </row>
    <row r="635" spans="2:6" ht="15">
      <c r="B635" s="3"/>
      <c r="C635" s="2"/>
      <c r="D635" s="2"/>
      <c r="E635" s="121"/>
      <c r="F635" s="2"/>
    </row>
    <row r="636" spans="2:6" ht="15">
      <c r="B636" s="3"/>
      <c r="C636" s="2"/>
      <c r="D636" s="2"/>
      <c r="E636" s="121"/>
      <c r="F636" s="2"/>
    </row>
    <row r="637" spans="2:6" ht="15">
      <c r="B637" s="3"/>
      <c r="C637" s="2"/>
      <c r="D637" s="2"/>
      <c r="E637" s="121"/>
      <c r="F637" s="2"/>
    </row>
    <row r="638" spans="2:6" ht="15">
      <c r="B638" s="3"/>
      <c r="C638" s="2"/>
      <c r="D638" s="2"/>
      <c r="E638" s="121"/>
      <c r="F638" s="2"/>
    </row>
    <row r="639" spans="2:6" ht="15">
      <c r="B639" s="3"/>
      <c r="C639" s="2"/>
      <c r="D639" s="2"/>
      <c r="E639" s="121"/>
      <c r="F639" s="2"/>
    </row>
    <row r="640" spans="2:6" ht="15">
      <c r="B640" s="3"/>
      <c r="C640" s="2"/>
      <c r="D640" s="2"/>
      <c r="E640" s="121"/>
      <c r="F640" s="2"/>
    </row>
    <row r="641" spans="2:6" ht="15">
      <c r="B641" s="3"/>
      <c r="C641" s="2"/>
      <c r="D641" s="2"/>
      <c r="E641" s="121"/>
      <c r="F641" s="2"/>
    </row>
    <row r="642" spans="2:6" ht="15">
      <c r="B642" s="8"/>
      <c r="C642" s="2"/>
      <c r="D642" s="2"/>
      <c r="E642" s="121"/>
      <c r="F642" s="2"/>
    </row>
    <row r="643" spans="2:6" ht="15">
      <c r="B643" s="3"/>
      <c r="C643" s="2"/>
      <c r="D643" s="2"/>
      <c r="E643" s="121"/>
      <c r="F643" s="2"/>
    </row>
    <row r="644" spans="2:6" ht="15">
      <c r="B644" s="3"/>
      <c r="C644" s="2"/>
      <c r="D644" s="2"/>
      <c r="E644" s="121"/>
      <c r="F644" s="2"/>
    </row>
    <row r="645" spans="2:6" ht="15">
      <c r="B645" s="3"/>
      <c r="C645" s="2"/>
      <c r="D645" s="2"/>
      <c r="E645" s="121"/>
      <c r="F645" s="2"/>
    </row>
    <row r="646" spans="2:6" ht="15">
      <c r="B646" s="3"/>
      <c r="C646" s="2"/>
      <c r="D646" s="2"/>
      <c r="E646" s="121"/>
      <c r="F646" s="2"/>
    </row>
    <row r="647" spans="2:6" ht="15">
      <c r="B647" s="3"/>
      <c r="C647" s="2"/>
      <c r="D647" s="2"/>
      <c r="E647" s="121"/>
      <c r="F647" s="2"/>
    </row>
    <row r="648" spans="2:6" ht="15">
      <c r="B648" s="8"/>
      <c r="C648" s="2"/>
      <c r="D648" s="2"/>
      <c r="E648" s="121"/>
      <c r="F648" s="2"/>
    </row>
    <row r="649" spans="2:6" ht="15">
      <c r="B649" s="3"/>
      <c r="C649" s="2"/>
      <c r="D649" s="2"/>
      <c r="E649" s="121"/>
      <c r="F649" s="2"/>
    </row>
    <row r="650" spans="2:6" ht="15">
      <c r="B650" s="3"/>
      <c r="C650" s="2"/>
      <c r="D650" s="2"/>
      <c r="E650" s="121"/>
      <c r="F650" s="2"/>
    </row>
    <row r="651" spans="2:6" ht="15">
      <c r="B651" s="3"/>
      <c r="C651" s="2"/>
      <c r="D651" s="2"/>
      <c r="E651" s="121"/>
      <c r="F651" s="2"/>
    </row>
    <row r="652" spans="2:6" ht="15">
      <c r="B652" s="2"/>
      <c r="C652" s="2"/>
      <c r="D652" s="2"/>
      <c r="E652" s="121"/>
      <c r="F652" s="2"/>
    </row>
    <row r="653" spans="2:6" ht="15">
      <c r="B653" s="3"/>
      <c r="C653" s="2"/>
      <c r="D653" s="2"/>
      <c r="E653" s="121"/>
      <c r="F653" s="2"/>
    </row>
    <row r="654" spans="2:6" ht="15.75">
      <c r="B654" s="1"/>
      <c r="C654" s="2"/>
      <c r="D654" s="2"/>
      <c r="E654" s="121"/>
      <c r="F654" s="2"/>
    </row>
    <row r="655" spans="2:6" ht="15">
      <c r="B655" s="3"/>
      <c r="C655" s="2"/>
      <c r="D655" s="2"/>
      <c r="E655" s="121"/>
      <c r="F655" s="2"/>
    </row>
    <row r="656" spans="2:6" ht="15">
      <c r="B656" s="3"/>
      <c r="C656" s="2"/>
      <c r="D656" s="2"/>
      <c r="E656" s="121"/>
      <c r="F656" s="2"/>
    </row>
    <row r="657" spans="2:6" ht="15">
      <c r="B657" s="3"/>
      <c r="C657" s="2"/>
      <c r="D657" s="2"/>
      <c r="E657" s="121"/>
      <c r="F657" s="2"/>
    </row>
    <row r="658" spans="2:6" ht="15">
      <c r="B658" s="3"/>
      <c r="C658" s="2"/>
      <c r="D658" s="2"/>
      <c r="E658" s="121"/>
      <c r="F658" s="2"/>
    </row>
    <row r="659" spans="2:6" ht="15">
      <c r="B659" s="3"/>
      <c r="C659" s="2"/>
      <c r="D659" s="2"/>
      <c r="E659" s="121"/>
      <c r="F659" s="2"/>
    </row>
    <row r="660" spans="2:6" ht="15">
      <c r="B660" s="3"/>
      <c r="C660" s="2"/>
      <c r="D660" s="2"/>
      <c r="E660" s="121"/>
      <c r="F660" s="2"/>
    </row>
    <row r="661" spans="2:6" ht="15">
      <c r="B661" s="3"/>
      <c r="C661" s="2"/>
      <c r="D661" s="2"/>
      <c r="E661" s="121"/>
      <c r="F661" s="2"/>
    </row>
    <row r="662" spans="2:6" ht="15">
      <c r="B662" s="3"/>
      <c r="C662" s="2"/>
      <c r="D662" s="2"/>
      <c r="E662" s="121"/>
      <c r="F662" s="2"/>
    </row>
    <row r="663" spans="2:6" ht="15">
      <c r="B663" s="3"/>
      <c r="C663" s="2"/>
      <c r="D663" s="2"/>
      <c r="E663" s="121"/>
      <c r="F663" s="2"/>
    </row>
    <row r="664" spans="2:6" ht="15">
      <c r="B664" s="3"/>
      <c r="C664" s="2"/>
      <c r="D664" s="2"/>
      <c r="E664" s="121"/>
      <c r="F664" s="2"/>
    </row>
    <row r="665" spans="2:6" ht="15">
      <c r="B665" s="3"/>
      <c r="C665" s="2"/>
      <c r="D665" s="2"/>
      <c r="E665" s="121"/>
      <c r="F665" s="2"/>
    </row>
    <row r="666" spans="2:6" ht="15">
      <c r="B666" s="3"/>
      <c r="C666" s="2"/>
      <c r="D666" s="2"/>
      <c r="E666" s="121"/>
      <c r="F666" s="2"/>
    </row>
    <row r="667" spans="2:6" ht="15">
      <c r="B667" s="3"/>
      <c r="C667" s="2"/>
      <c r="D667" s="2"/>
      <c r="E667" s="121"/>
      <c r="F667" s="2"/>
    </row>
    <row r="668" spans="2:6" ht="15">
      <c r="B668" s="3"/>
      <c r="C668" s="2"/>
      <c r="D668" s="2"/>
      <c r="E668" s="121"/>
      <c r="F668" s="2"/>
    </row>
    <row r="675" spans="3:7" ht="15">
      <c r="C675" s="2"/>
      <c r="D675" s="2"/>
      <c r="E675" s="121"/>
      <c r="F675" s="2"/>
      <c r="G675" s="3"/>
    </row>
    <row r="676" spans="2:6" ht="15">
      <c r="B676" s="3" t="s">
        <v>50</v>
      </c>
      <c r="C676" s="2"/>
      <c r="D676" s="2"/>
      <c r="E676" s="121"/>
      <c r="F676" s="2"/>
    </row>
    <row r="677" spans="2:6" ht="15">
      <c r="B677" s="3" t="s">
        <v>51</v>
      </c>
      <c r="C677" s="2"/>
      <c r="D677" s="2"/>
      <c r="E677" s="121"/>
      <c r="F677" s="2"/>
    </row>
    <row r="678" spans="2:6" ht="15">
      <c r="B678" s="3" t="s">
        <v>52</v>
      </c>
      <c r="C678" s="2"/>
      <c r="D678" s="2"/>
      <c r="E678" s="121"/>
      <c r="F678" s="2"/>
    </row>
    <row r="679" spans="2:6" ht="15">
      <c r="B679" s="3" t="s">
        <v>53</v>
      </c>
      <c r="C679" s="2"/>
      <c r="D679" s="2"/>
      <c r="E679" s="121"/>
      <c r="F679" s="2"/>
    </row>
    <row r="680" spans="2:6" ht="15">
      <c r="B680" s="3" t="s">
        <v>54</v>
      </c>
      <c r="C680" s="2"/>
      <c r="D680" s="2"/>
      <c r="E680" s="121"/>
      <c r="F680" s="2"/>
    </row>
    <row r="681" spans="2:6" ht="15">
      <c r="B681" s="3" t="s">
        <v>55</v>
      </c>
      <c r="C681" s="2"/>
      <c r="D681" s="2"/>
      <c r="E681" s="121"/>
      <c r="F681" s="2"/>
    </row>
    <row r="682" spans="2:6" ht="15">
      <c r="B682" s="3" t="s">
        <v>56</v>
      </c>
      <c r="C682" s="2"/>
      <c r="D682" s="2"/>
      <c r="E682" s="121"/>
      <c r="F682" s="2"/>
    </row>
    <row r="683" spans="2:6" ht="15">
      <c r="B683" s="3" t="s">
        <v>57</v>
      </c>
      <c r="C683" s="2"/>
      <c r="D683" s="2"/>
      <c r="E683" s="121"/>
      <c r="F683" s="2"/>
    </row>
    <row r="684" spans="2:6" ht="15">
      <c r="B684" s="3" t="s">
        <v>34</v>
      </c>
      <c r="C684" s="2"/>
      <c r="D684" s="2"/>
      <c r="E684" s="121"/>
      <c r="F684" s="2"/>
    </row>
    <row r="685" spans="2:6" ht="15">
      <c r="B685" s="2"/>
      <c r="C685" s="2"/>
      <c r="D685" s="2"/>
      <c r="E685" s="121"/>
      <c r="F685" s="2"/>
    </row>
    <row r="686" spans="2:6" ht="15">
      <c r="B686" s="3" t="s">
        <v>58</v>
      </c>
      <c r="C686" s="2"/>
      <c r="D686" s="2"/>
      <c r="E686" s="121"/>
      <c r="F686" s="2"/>
    </row>
    <row r="687" spans="2:6" ht="15">
      <c r="B687" s="2"/>
      <c r="C687" s="2"/>
      <c r="D687" s="2"/>
      <c r="E687" s="121"/>
      <c r="F687" s="2"/>
    </row>
    <row r="688" spans="2:6" ht="15">
      <c r="B688" s="2"/>
      <c r="C688" s="2"/>
      <c r="D688" s="2"/>
      <c r="E688" s="121"/>
      <c r="F688" s="2"/>
    </row>
    <row r="689" spans="2:6" ht="15">
      <c r="B689" s="2"/>
      <c r="C689" s="2"/>
      <c r="D689" s="2"/>
      <c r="E689" s="121"/>
      <c r="F689" s="2"/>
    </row>
    <row r="690" spans="2:6" ht="15">
      <c r="B690" s="2"/>
      <c r="C690" s="2"/>
      <c r="D690" s="2"/>
      <c r="E690" s="121"/>
      <c r="F690" s="2"/>
    </row>
  </sheetData>
  <sheetProtection password="C6A6" sheet="1"/>
  <mergeCells count="10">
    <mergeCell ref="A545:L547"/>
    <mergeCell ref="B2:J2"/>
    <mergeCell ref="B23:J23"/>
    <mergeCell ref="B429:J429"/>
    <mergeCell ref="C478:J478"/>
    <mergeCell ref="C479:J479"/>
    <mergeCell ref="C461:J461"/>
    <mergeCell ref="C462:J462"/>
    <mergeCell ref="B9:J9"/>
    <mergeCell ref="B11:J11"/>
  </mergeCells>
  <hyperlinks>
    <hyperlink ref="A555" r:id="rId1" display="Roy Arnott"/>
    <hyperlink ref="E555" r:id="rId2" display="Wray Whitmore "/>
    <hyperlink ref="J552" r:id="rId3" display="Benjamin Hamm"/>
    <hyperlink ref="A552" r:id="rId4" display="Rob Berry"/>
    <hyperlink ref="E552" r:id="rId5" display="Linda Fox"/>
  </hyperlinks>
  <printOptions/>
  <pageMargins left="0.7480314960629921" right="0.7480314960629921" top="0.984251968503937" bottom="0.984251968503937" header="0.5118110236220472" footer="0.5118110236220472"/>
  <pageSetup firstPageNumber="8" useFirstPageNumber="1" fitToHeight="10" fitToWidth="1" horizontalDpi="600" verticalDpi="600" orientation="portrait" scale="75" r:id="rId7"/>
  <headerFooter alignWithMargins="0">
    <oddHeader>&amp;LGuidelines: Lamb Production Costs&amp;R&amp;P</oddHeader>
    <oddFooter>&amp;R&amp;"Arial,Regular"Manitoba Agriculture, Farm Management
</oddFooter>
  </headerFooter>
  <rowBreaks count="12" manualBreakCount="12">
    <brk id="39" max="11" man="1"/>
    <brk id="93" max="11" man="1"/>
    <brk id="137" max="255" man="1"/>
    <brk id="182" max="11" man="1"/>
    <brk id="231" max="11" man="1"/>
    <brk id="273" max="11" man="1"/>
    <brk id="326" max="11" man="1"/>
    <brk id="363" max="11" man="1"/>
    <brk id="405" max="11" man="1"/>
    <brk id="427" max="11" man="1"/>
    <brk id="459" max="11" man="1"/>
    <brk id="501" max="11" man="1"/>
  </rowBreaks>
  <ignoredErrors>
    <ignoredError sqref="C479" numberStoredAsText="1"/>
  </ignoredError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McPherson, Ellen (MAFRI)</dc:creator>
  <cp:keywords/>
  <dc:description/>
  <cp:lastModifiedBy>Roy Arnott</cp:lastModifiedBy>
  <cp:lastPrinted>2018-06-01T18:54:12Z</cp:lastPrinted>
  <dcterms:created xsi:type="dcterms:W3CDTF">1999-12-31T17:58:51Z</dcterms:created>
  <dcterms:modified xsi:type="dcterms:W3CDTF">2018-06-12T16:23:24Z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PublishingExpirationDate">
    <vt:lpwstr/>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ContentTypeId">
    <vt:lpwstr>0x010100ACAADE3355E29C4E95B09CD45679A285</vt:lpwstr>
  </property>
  <property fmtid="{D5CDD505-2E9C-101B-9397-08002B2CF9AE}" pid="8" name="_SourceUrl">
    <vt:lpwstr/>
  </property>
  <property fmtid="{D5CDD505-2E9C-101B-9397-08002B2CF9AE}" pid="9" name="_SharedFileIndex">
    <vt:lpwstr/>
  </property>
</Properties>
</file>