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4355" windowHeight="7740" tabRatio="792" activeTab="0"/>
  </bookViews>
  <sheets>
    <sheet name="Intro" sheetId="1" r:id="rId1"/>
    <sheet name="Summary" sheetId="2" r:id="rId2"/>
    <sheet name="Input" sheetId="3" r:id="rId3"/>
    <sheet name="Gross Revenue" sheetId="4" r:id="rId4"/>
    <sheet name="FMV rental" sheetId="5" r:id="rId5"/>
    <sheet name="Marginal Return" sheetId="6" r:id="rId6"/>
    <sheet name="Revenue Ratio" sheetId="7" r:id="rId7"/>
    <sheet name="Appreciation" sheetId="8" r:id="rId8"/>
    <sheet name="Data" sheetId="9" r:id="rId9"/>
  </sheets>
  <externalReferences>
    <externalReference r:id="rId12"/>
    <externalReference r:id="rId13"/>
  </externalReferences>
  <definedNames>
    <definedName name="\A" localSheetId="7">#REF!</definedName>
    <definedName name="\A" localSheetId="4">#REF!</definedName>
    <definedName name="\A" localSheetId="3">#REF!</definedName>
    <definedName name="\A" localSheetId="0">#REF!</definedName>
    <definedName name="\A" localSheetId="5">#REF!</definedName>
    <definedName name="\A" localSheetId="6">#REF!</definedName>
    <definedName name="\A">#REF!</definedName>
    <definedName name="\B" localSheetId="7">#REF!</definedName>
    <definedName name="\B" localSheetId="4">#REF!</definedName>
    <definedName name="\B" localSheetId="3">#REF!</definedName>
    <definedName name="\B" localSheetId="5">#REF!</definedName>
    <definedName name="\B" localSheetId="6">#REF!</definedName>
    <definedName name="\B">#REF!</definedName>
    <definedName name="\C" localSheetId="7">#REF!</definedName>
    <definedName name="\C" localSheetId="4">#REF!</definedName>
    <definedName name="\C" localSheetId="3">#REF!</definedName>
    <definedName name="\C" localSheetId="2">#N/A</definedName>
    <definedName name="\C" localSheetId="0">#REF!</definedName>
    <definedName name="\C" localSheetId="5">#REF!</definedName>
    <definedName name="\C" localSheetId="6">#REF!</definedName>
    <definedName name="\C" localSheetId="1">#N/A</definedName>
    <definedName name="\C">#REF!</definedName>
    <definedName name="\D" localSheetId="7">#REF!</definedName>
    <definedName name="\D" localSheetId="4">#REF!</definedName>
    <definedName name="\D" localSheetId="3">#REF!</definedName>
    <definedName name="\D" localSheetId="2">#N/A</definedName>
    <definedName name="\D" localSheetId="0">#REF!</definedName>
    <definedName name="\D" localSheetId="5">#REF!</definedName>
    <definedName name="\D" localSheetId="6">#REF!</definedName>
    <definedName name="\D" localSheetId="1">#N/A</definedName>
    <definedName name="\D">#REF!</definedName>
    <definedName name="\E" localSheetId="7">#REF!</definedName>
    <definedName name="\E" localSheetId="4">#REF!</definedName>
    <definedName name="\E" localSheetId="3">#REF!</definedName>
    <definedName name="\E" localSheetId="5">#REF!</definedName>
    <definedName name="\E" localSheetId="6">#REF!</definedName>
    <definedName name="\E">#REF!</definedName>
    <definedName name="\F" localSheetId="7">#REF!</definedName>
    <definedName name="\F" localSheetId="4">#REF!</definedName>
    <definedName name="\F" localSheetId="3">#REF!</definedName>
    <definedName name="\F" localSheetId="5">#REF!</definedName>
    <definedName name="\F" localSheetId="6">#REF!</definedName>
    <definedName name="\F">#REF!</definedName>
    <definedName name="\H" localSheetId="7">#REF!</definedName>
    <definedName name="\H" localSheetId="4">#REF!</definedName>
    <definedName name="\H" localSheetId="3">#REF!</definedName>
    <definedName name="\H" localSheetId="2">#N/A</definedName>
    <definedName name="\H" localSheetId="0">#REF!</definedName>
    <definedName name="\H" localSheetId="5">#REF!</definedName>
    <definedName name="\H" localSheetId="6">#REF!</definedName>
    <definedName name="\H" localSheetId="1">#N/A</definedName>
    <definedName name="\H">#REF!</definedName>
    <definedName name="\I" localSheetId="7">#REF!</definedName>
    <definedName name="\I" localSheetId="4">#REF!</definedName>
    <definedName name="\I" localSheetId="3">#REF!</definedName>
    <definedName name="\I" localSheetId="2">#N/A</definedName>
    <definedName name="\I" localSheetId="0">#REF!</definedName>
    <definedName name="\I" localSheetId="5">#REF!</definedName>
    <definedName name="\I" localSheetId="6">#REF!</definedName>
    <definedName name="\I" localSheetId="1">#N/A</definedName>
    <definedName name="\I">#REF!</definedName>
    <definedName name="\K">#N/A</definedName>
    <definedName name="\L" localSheetId="7">#REF!</definedName>
    <definedName name="\L" localSheetId="4">#REF!</definedName>
    <definedName name="\L" localSheetId="3">#REF!</definedName>
    <definedName name="\L" localSheetId="5">#REF!</definedName>
    <definedName name="\L" localSheetId="6">#REF!</definedName>
    <definedName name="\L">#REF!</definedName>
    <definedName name="\N" localSheetId="7">#REF!</definedName>
    <definedName name="\N" localSheetId="4">#REF!</definedName>
    <definedName name="\N" localSheetId="3">#REF!</definedName>
    <definedName name="\N" localSheetId="2">#N/A</definedName>
    <definedName name="\N" localSheetId="0">#REF!</definedName>
    <definedName name="\N" localSheetId="5">#REF!</definedName>
    <definedName name="\N" localSheetId="6">#REF!</definedName>
    <definedName name="\N" localSheetId="1">#N/A</definedName>
    <definedName name="\N">#REF!</definedName>
    <definedName name="\O" localSheetId="7">#REF!</definedName>
    <definedName name="\O" localSheetId="4">#REF!</definedName>
    <definedName name="\O" localSheetId="3">#REF!</definedName>
    <definedName name="\O" localSheetId="5">#REF!</definedName>
    <definedName name="\O" localSheetId="6">#REF!</definedName>
    <definedName name="\O">#REF!</definedName>
    <definedName name="\P">#N/A</definedName>
    <definedName name="\R" localSheetId="7">#REF!</definedName>
    <definedName name="\R" localSheetId="4">#REF!</definedName>
    <definedName name="\R" localSheetId="3">#REF!</definedName>
    <definedName name="\R" localSheetId="5">#REF!</definedName>
    <definedName name="\R" localSheetId="6">#REF!</definedName>
    <definedName name="\R">#REF!</definedName>
    <definedName name="\S" localSheetId="7">#REF!</definedName>
    <definedName name="\S" localSheetId="4">#REF!</definedName>
    <definedName name="\S" localSheetId="3">#REF!</definedName>
    <definedName name="\S" localSheetId="2">#N/A</definedName>
    <definedName name="\S" localSheetId="0">#REF!</definedName>
    <definedName name="\S" localSheetId="5">#REF!</definedName>
    <definedName name="\S" localSheetId="6">#REF!</definedName>
    <definedName name="\S" localSheetId="1">#N/A</definedName>
    <definedName name="\S">#REF!</definedName>
    <definedName name="\T" localSheetId="7">#REF!</definedName>
    <definedName name="\T" localSheetId="4">#REF!</definedName>
    <definedName name="\T" localSheetId="3">#REF!</definedName>
    <definedName name="\T" localSheetId="5">#REF!</definedName>
    <definedName name="\T" localSheetId="6">#REF!</definedName>
    <definedName name="\T">#REF!</definedName>
    <definedName name="\U" localSheetId="7">#REF!</definedName>
    <definedName name="\U" localSheetId="4">#REF!</definedName>
    <definedName name="\U" localSheetId="3">#REF!</definedName>
    <definedName name="\U" localSheetId="5">#REF!</definedName>
    <definedName name="\U" localSheetId="6">#REF!</definedName>
    <definedName name="\U">#REF!</definedName>
    <definedName name="\W" localSheetId="7">#REF!</definedName>
    <definedName name="\W" localSheetId="4">#REF!</definedName>
    <definedName name="\W" localSheetId="3">#REF!</definedName>
    <definedName name="\W" localSheetId="2">#N/A</definedName>
    <definedName name="\W" localSheetId="0">#REF!</definedName>
    <definedName name="\W" localSheetId="5">#REF!</definedName>
    <definedName name="\W" localSheetId="6">#REF!</definedName>
    <definedName name="\W" localSheetId="1">#N/A</definedName>
    <definedName name="\W">#REF!</definedName>
    <definedName name="\X">#N/A</definedName>
    <definedName name="\Y" localSheetId="7">#REF!</definedName>
    <definedName name="\Y" localSheetId="4">#REF!</definedName>
    <definedName name="\Y" localSheetId="3">#REF!</definedName>
    <definedName name="\Y" localSheetId="5">#REF!</definedName>
    <definedName name="\Y" localSheetId="6">#REF!</definedName>
    <definedName name="\Y">#REF!</definedName>
    <definedName name="ALL">#N/A</definedName>
    <definedName name="_xlnm.Print_Area" localSheetId="7">'Appreciation'!$A$1:$K$58</definedName>
    <definedName name="_xlnm.Print_Area" localSheetId="4">'FMV rental'!$A$1:$K$28</definedName>
    <definedName name="_xlnm.Print_Area" localSheetId="3">'Gross Revenue'!$A$1:$J$76</definedName>
    <definedName name="_xlnm.Print_Area" localSheetId="2">'Input'!$A$1:$J$94</definedName>
    <definedName name="_xlnm.Print_Area" localSheetId="0">'Intro'!$A$1:$J$39</definedName>
    <definedName name="_xlnm.Print_Area" localSheetId="5">'Marginal Return'!$A$1:$K$59</definedName>
    <definedName name="_xlnm.Print_Area" localSheetId="6">'Revenue Ratio'!$A$1:$K$83</definedName>
    <definedName name="Z_6E930F6D_F725_11D2_92B5_0004ACD86FC2_.wvu.PrintArea" localSheetId="0" hidden="1">'Intro'!$A$5:$A$22</definedName>
  </definedNames>
  <calcPr fullCalcOnLoad="1"/>
</workbook>
</file>

<file path=xl/comments3.xml><?xml version="1.0" encoding="utf-8"?>
<comments xmlns="http://schemas.openxmlformats.org/spreadsheetml/2006/main">
  <authors>
    <author>Roy Arnott</author>
  </authors>
  <commentList>
    <comment ref="F58" authorId="0">
      <text>
        <r>
          <rPr>
            <sz val="11"/>
            <rFont val="Tahoma"/>
            <family val="2"/>
          </rPr>
          <t>Cash land rental rate can be roughly estimated by a typical range of 18 to 22% of gross revenue per acre.</t>
        </r>
      </text>
    </comment>
    <comment ref="B29" authorId="0">
      <text>
        <r>
          <rPr>
            <sz val="9"/>
            <rFont val="Tahoma"/>
            <family val="2"/>
          </rPr>
          <t xml:space="preserve">
Enter your long term average yields for your farm.  User tip - enter yields found on your MASC statement of insurance.</t>
        </r>
      </text>
    </comment>
    <comment ref="F59" authorId="0">
      <text>
        <r>
          <rPr>
            <sz val="11"/>
            <rFont val="Tahoma"/>
            <family val="2"/>
          </rPr>
          <t xml:space="preserve">
It is generally accepted that the payment for one purchased acre of land will be approximately equal to the fair market land rental value from two to three acres. (2 to 3 acres of owned land to cashflow the payment for each additional acre that is purchased)
A land payment to land rental ratio of 3.0 is often considered a rough estimate for the tipping point for purchasing land as ratios of 3 or higher are not usually financially feasible.  Ratios lower than 3 can indicate a potentially positive purchase decision and ratios of 2 or lower are most likely a good purchase decision. </t>
        </r>
      </text>
    </comment>
    <comment ref="F55" authorId="0">
      <text>
        <r>
          <rPr>
            <sz val="9"/>
            <rFont val="Tahoma"/>
            <family val="2"/>
          </rPr>
          <t xml:space="preserve">
</t>
        </r>
        <r>
          <rPr>
            <sz val="11"/>
            <rFont val="Tahoma"/>
            <family val="2"/>
          </rPr>
          <t>Enter an estimate of the potential increased mortgage interest rate.</t>
        </r>
      </text>
    </comment>
    <comment ref="D92" authorId="0">
      <text>
        <r>
          <rPr>
            <sz val="9"/>
            <rFont val="Tahoma"/>
            <family val="0"/>
          </rPr>
          <t>Source: Stats Canada Manitoba 25 year Consumer Price Index (CPI)</t>
        </r>
      </text>
    </comment>
    <comment ref="C93" authorId="0">
      <text>
        <r>
          <rPr>
            <sz val="9"/>
            <rFont val="Tahoma"/>
            <family val="0"/>
          </rPr>
          <t>Source: Farm Credit Canada (FCC) Farmland Values Report - Manitoba</t>
        </r>
      </text>
    </comment>
  </commentList>
</comments>
</file>

<file path=xl/comments4.xml><?xml version="1.0" encoding="utf-8"?>
<comments xmlns="http://schemas.openxmlformats.org/spreadsheetml/2006/main">
  <authors>
    <author>Roy Arnott</author>
  </authors>
  <commentList>
    <comment ref="F11" authorId="0">
      <text>
        <r>
          <rPr>
            <sz val="11"/>
            <rFont val="Tahoma"/>
            <family val="2"/>
          </rPr>
          <t>Land rental rate can be roughly estimated by a typical range of 18 to 22% of gross revenue per acre.</t>
        </r>
      </text>
    </comment>
    <comment ref="F12" authorId="0">
      <text>
        <r>
          <rPr>
            <sz val="11"/>
            <rFont val="Tahoma"/>
            <family val="2"/>
          </rPr>
          <t xml:space="preserve">It is generally accepted that the payment for one purchased acre of land will be approximately equal to the fair market land rental value from two to three acres. (2 to 3 acres of owned land to cashflow the payment for each additional acre that is purchased)
A land payment to land rental ratio of 3.0 is often considered a rough estimate for the tipping point for purchasing land as ratios of 3 or higher are not usually financially feasible.  Ratios lower than 3 can indicate a potentially positive purchase decision and ratios of 2 or lower are most likely a good purchase decision. 
</t>
        </r>
      </text>
    </comment>
    <comment ref="F15" authorId="0">
      <text>
        <r>
          <rPr>
            <sz val="11"/>
            <rFont val="Tahoma"/>
            <family val="2"/>
          </rPr>
          <t>An estimate of the potential increased mortgage interest rate.</t>
        </r>
      </text>
    </comment>
  </commentList>
</comments>
</file>

<file path=xl/sharedStrings.xml><?xml version="1.0" encoding="utf-8"?>
<sst xmlns="http://schemas.openxmlformats.org/spreadsheetml/2006/main" count="446" uniqueCount="230">
  <si>
    <t>Canola</t>
  </si>
  <si>
    <t>Wheat</t>
  </si>
  <si>
    <t>Printed:</t>
  </si>
  <si>
    <t xml:space="preserve">For more information, contact your local </t>
  </si>
  <si>
    <t>Roy Arnott</t>
  </si>
  <si>
    <t>Percent of Crop Rotation</t>
  </si>
  <si>
    <t>Winter Wheat</t>
  </si>
  <si>
    <t xml:space="preserve">. . . . . . . . . . . . . . . . . . . . . . . . . . . . . . . . . . . . . . . . . . . . . . . . . . . . . . . . . . . </t>
  </si>
  <si>
    <t xml:space="preserve">Your Farm </t>
  </si>
  <si>
    <t xml:space="preserve">Created and maintained by </t>
  </si>
  <si>
    <t>Yield per Acre (bu or lb)</t>
  </si>
  <si>
    <t>Corn</t>
  </si>
  <si>
    <t xml:space="preserve">. . . . . . . . . . . . . . . . . . . . . . . . . . . . . . . . . . . . . . . . . . . . . . . . . </t>
  </si>
  <si>
    <t>Guidelines For Calculating</t>
  </si>
  <si>
    <t>Assumptions</t>
  </si>
  <si>
    <t>%</t>
  </si>
  <si>
    <r>
      <t>Note:</t>
    </r>
    <r>
      <rPr>
        <sz val="10"/>
        <rFont val="Arial"/>
        <family val="2"/>
      </rPr>
      <t xml:space="preserve"> This budget is only a guide and is not intended to be an in-depth study of the cost of production of this industry. Interpretation and utilization of this information is the responsibility of the user. No liability for decisions based on this publication is assumed. </t>
    </r>
  </si>
  <si>
    <t>Barley</t>
  </si>
  <si>
    <t>Oats</t>
  </si>
  <si>
    <t>Soy-beans</t>
  </si>
  <si>
    <r>
      <t>Gross Revenue per Acre</t>
    </r>
    <r>
      <rPr>
        <b/>
        <vertAlign val="superscript"/>
        <sz val="12"/>
        <rFont val="Arial"/>
        <family val="2"/>
      </rPr>
      <t>1</t>
    </r>
  </si>
  <si>
    <t>available at www.manitoba.ca/agriculture</t>
  </si>
  <si>
    <t>x</t>
  </si>
  <si>
    <t>=</t>
  </si>
  <si>
    <t>1.  Gross Revenue Per Acre = Price per unit x Yield per acre (weighted based on % of crop rotation)</t>
  </si>
  <si>
    <t>/acre</t>
  </si>
  <si>
    <t>-</t>
  </si>
  <si>
    <t>A.</t>
  </si>
  <si>
    <t>B.</t>
  </si>
  <si>
    <t>C.</t>
  </si>
  <si>
    <t>Operating Cost Per Acre</t>
  </si>
  <si>
    <t>Bob Gwyer</t>
  </si>
  <si>
    <t>Cash rent - land owner share (gross revenue)</t>
  </si>
  <si>
    <t>Farmgate Values</t>
  </si>
  <si>
    <t>Soybeans</t>
  </si>
  <si>
    <t>Average Price ($ per Unit)</t>
  </si>
  <si>
    <t>Average Yield per Acre (bu or lb)</t>
  </si>
  <si>
    <t>Average Values</t>
  </si>
  <si>
    <t>Long Term Regional Manitoba Average Values</t>
  </si>
  <si>
    <t>Approximate Land Rental Rate (% of Gross Revenue)</t>
  </si>
  <si>
    <t>Land Payment to Land Rental Ratio</t>
  </si>
  <si>
    <t>Mortgage Rate</t>
  </si>
  <si>
    <t>Loan Amortization Term (Years)</t>
  </si>
  <si>
    <t xml:space="preserve">Mortgage Rate Variance </t>
  </si>
  <si>
    <t>Estimated Values per Acre</t>
  </si>
  <si>
    <r>
      <t>Land Rental</t>
    </r>
    <r>
      <rPr>
        <b/>
        <vertAlign val="superscript"/>
        <sz val="12"/>
        <rFont val="Arial"/>
        <family val="2"/>
      </rPr>
      <t>2</t>
    </r>
  </si>
  <si>
    <r>
      <t>Land Payment</t>
    </r>
    <r>
      <rPr>
        <b/>
        <vertAlign val="superscript"/>
        <sz val="12"/>
        <rFont val="Arial"/>
        <family val="2"/>
      </rPr>
      <t>3</t>
    </r>
  </si>
  <si>
    <r>
      <t>Land Value</t>
    </r>
    <r>
      <rPr>
        <b/>
        <vertAlign val="superscript"/>
        <sz val="12"/>
        <rFont val="Arial"/>
        <family val="2"/>
      </rPr>
      <t>4</t>
    </r>
  </si>
  <si>
    <t>1.  Gross Revenue = Price per unit x Yield per acre (weighted based on % of crop rotation)</t>
  </si>
  <si>
    <t>2.  Estimated Land Rent Per Acre = Gross Revenue x % Approximate Land Rental Rate</t>
  </si>
  <si>
    <t>3.  Estimated Land Payment Per Acre = Estimated Land Rent x Land Payment to Land Rental Ratio</t>
  </si>
  <si>
    <t>4.  Estimated Land Value Per Acre = Calculated based on estimated land payment, interest rate and length of term</t>
  </si>
  <si>
    <t>Land Value - Gross Revenue</t>
  </si>
  <si>
    <t>years</t>
  </si>
  <si>
    <t>Annual Rates</t>
  </si>
  <si>
    <t>Crop Land Purchase Values - Input</t>
  </si>
  <si>
    <t>Fixed Costs</t>
  </si>
  <si>
    <t xml:space="preserve">Land Appreciation (Long Term) </t>
  </si>
  <si>
    <t>Labour / Living Costs</t>
  </si>
  <si>
    <t>hours</t>
  </si>
  <si>
    <t>/hour</t>
  </si>
  <si>
    <t>/bu</t>
  </si>
  <si>
    <t>Labour Hours per Acre</t>
  </si>
  <si>
    <t>Labour Rate per Hour</t>
  </si>
  <si>
    <t>Crop Land Value Based on Gross Revenue &amp; Fair Market Value Land Rental</t>
  </si>
  <si>
    <t>Crop Land Value Based on Margin Over Operating Costs</t>
  </si>
  <si>
    <t xml:space="preserve">Long term average prices are crop year averages based on weekly data for Manitoba.  </t>
  </si>
  <si>
    <r>
      <rPr>
        <b/>
        <sz val="11"/>
        <color indexed="8"/>
        <rFont val="Arial"/>
        <family val="2"/>
      </rPr>
      <t xml:space="preserve">Note: </t>
    </r>
    <r>
      <rPr>
        <sz val="11"/>
        <color indexed="8"/>
        <rFont val="Arial"/>
        <family val="2"/>
      </rPr>
      <t>Land value analysis is part of long term strategic planning for your farm and caution should be excercised if short term crop yields and prices are utilized.  It is generally recommended for land rental rate planning and analysis that a minimimum of 7 to 10 year average crop yields and commodity price outlook should be considered.</t>
    </r>
  </si>
  <si>
    <r>
      <rPr>
        <b/>
        <sz val="11"/>
        <color indexed="8"/>
        <rFont val="Arial"/>
        <family val="2"/>
      </rPr>
      <t xml:space="preserve">Note: </t>
    </r>
    <r>
      <rPr>
        <sz val="11"/>
        <color indexed="8"/>
        <rFont val="Arial"/>
        <family val="2"/>
      </rPr>
      <t>Land value analysis is part of long term strategic planning for your farm and caution should be excercised if short term crop yields and prices are utilized.  It is generally recommended for land value planning and analysis that a minimimum of 7 to 10 year average crop yields and commodity price outlook should be considered.</t>
    </r>
  </si>
  <si>
    <t>Seed &amp; Treatment</t>
  </si>
  <si>
    <t>Yes</t>
  </si>
  <si>
    <t>Fertilizer</t>
  </si>
  <si>
    <t>No</t>
  </si>
  <si>
    <t>Herbicide</t>
  </si>
  <si>
    <t>Fungicide</t>
  </si>
  <si>
    <t>Insecticide</t>
  </si>
  <si>
    <t>Fuel</t>
  </si>
  <si>
    <t>Machinery Operating</t>
  </si>
  <si>
    <t>Crop Insurance</t>
  </si>
  <si>
    <t>Other Costs</t>
  </si>
  <si>
    <t>Drying Costs</t>
  </si>
  <si>
    <t>Interest on Operating</t>
  </si>
  <si>
    <r>
      <t>Gross Revenue per Acre</t>
    </r>
    <r>
      <rPr>
        <vertAlign val="superscript"/>
        <sz val="12"/>
        <rFont val="Arial"/>
        <family val="2"/>
      </rPr>
      <t>1</t>
    </r>
  </si>
  <si>
    <t>Machinery Depreciation Rate</t>
  </si>
  <si>
    <t>Land Value - Marginal Return Over Operating Costs</t>
  </si>
  <si>
    <t>Non Aeration Grain Bin Storage Cost</t>
  </si>
  <si>
    <t>Aeration Grain Bin Storage Cost</t>
  </si>
  <si>
    <t>Non Aeration Grain Bin Storage (% of use)</t>
  </si>
  <si>
    <t>Aeration Grain Bin Storage (% of use)</t>
  </si>
  <si>
    <t>Grain Storage</t>
  </si>
  <si>
    <t>Machinery Investment Rate</t>
  </si>
  <si>
    <t>Land Ownership</t>
  </si>
  <si>
    <t>Acres Owned Outright</t>
  </si>
  <si>
    <t>acres</t>
  </si>
  <si>
    <t>Acres with Mortgage Payments</t>
  </si>
  <si>
    <t>Acres for Planned Purchase</t>
  </si>
  <si>
    <t>Total Payment Per Year</t>
  </si>
  <si>
    <t>Acres</t>
  </si>
  <si>
    <t>Total Current Acres</t>
  </si>
  <si>
    <t>Total Owned + Planned Acres</t>
  </si>
  <si>
    <t>(P+I/Year)</t>
  </si>
  <si>
    <t>Total Land P+I Payment Per Year</t>
  </si>
  <si>
    <t>Current P+I Payment</t>
  </si>
  <si>
    <t>Loan Amortization</t>
  </si>
  <si>
    <t xml:space="preserve">Potential Mortgage Rate Variance (increase) </t>
  </si>
  <si>
    <t>Per Acre Land Value (Breakeven)</t>
  </si>
  <si>
    <r>
      <t>Margin Over Operating Costs</t>
    </r>
    <r>
      <rPr>
        <b/>
        <vertAlign val="superscript"/>
        <sz val="12"/>
        <rFont val="Arial"/>
        <family val="2"/>
      </rPr>
      <t>2</t>
    </r>
  </si>
  <si>
    <t>2.  Margin Over Operating Costs Per Acre = Gross Revenue Per Acre - Operating Costs per acre</t>
  </si>
  <si>
    <t>Available for Land Payment</t>
  </si>
  <si>
    <t>total</t>
  </si>
  <si>
    <t>Annual Land Mortgage Payment (present situation)</t>
  </si>
  <si>
    <r>
      <t>Machinery Depreciation</t>
    </r>
    <r>
      <rPr>
        <vertAlign val="superscript"/>
        <sz val="12"/>
        <rFont val="Arial"/>
        <family val="2"/>
      </rPr>
      <t>3</t>
    </r>
  </si>
  <si>
    <r>
      <t>Machinery Investment</t>
    </r>
    <r>
      <rPr>
        <vertAlign val="superscript"/>
        <sz val="12"/>
        <rFont val="Arial"/>
        <family val="2"/>
      </rPr>
      <t>4</t>
    </r>
  </si>
  <si>
    <t>3.  Machinery Depreciation Cost Per Acre = Machinery Investment Per Acre x Depreciation Rate %</t>
  </si>
  <si>
    <t>4.  Machinery Investment Cost Per Acre = Machinery Investment Per Acre x Investment Rate %</t>
  </si>
  <si>
    <r>
      <t>Labour / Living</t>
    </r>
    <r>
      <rPr>
        <vertAlign val="superscript"/>
        <sz val="12"/>
        <rFont val="Arial"/>
        <family val="2"/>
      </rPr>
      <t>5</t>
    </r>
  </si>
  <si>
    <t>5.  Labour/Living Cost Per Acre = Labour Hours Per Acre x Labour Rate Per Hour $</t>
  </si>
  <si>
    <t>Total Years</t>
  </si>
  <si>
    <t>Production Value</t>
  </si>
  <si>
    <t>% Rate of Inflation (Time value of money)</t>
  </si>
  <si>
    <t>Production Value Per Acre</t>
  </si>
  <si>
    <t>Present Value of Production Value Per Acre</t>
  </si>
  <si>
    <t>Future Appreciated Land Value Per Acre</t>
  </si>
  <si>
    <t>Present Land Value (Breakeven)</t>
  </si>
  <si>
    <t>Darren Bond</t>
  </si>
  <si>
    <t>Purchase Land Values:</t>
  </si>
  <si>
    <t xml:space="preserve">Total Machinery Investment </t>
  </si>
  <si>
    <t>Total Future Production Value Per Acre</t>
  </si>
  <si>
    <t>% Land Appreciation - Long Term (25 Years)</t>
  </si>
  <si>
    <t>RS Wheat</t>
  </si>
  <si>
    <t>Land Value Per Acre</t>
  </si>
  <si>
    <t>Crop Land Rental Rate Worksheet</t>
  </si>
  <si>
    <t>Long term investment rate (5 Year)</t>
  </si>
  <si>
    <t>Property taxes</t>
  </si>
  <si>
    <t>Crop Land Value Based on Appreciated Value of Margin Over Operating Costs</t>
  </si>
  <si>
    <t>Rate of Inflation or Consumer Price Index (CPI)</t>
  </si>
  <si>
    <t>Land Value - Fair Market Value Land Rental</t>
  </si>
  <si>
    <t>Cash land rent per Acre</t>
  </si>
  <si>
    <t>Crop Land Value Based on Fair Market Value Land Rental Rate</t>
  </si>
  <si>
    <t xml:space="preserve">Cash Land Rental </t>
  </si>
  <si>
    <t>Property taxes per Acre</t>
  </si>
  <si>
    <t>Long Term Investment Rate (5 year)</t>
  </si>
  <si>
    <t>÷</t>
  </si>
  <si>
    <t xml:space="preserve">Land Value </t>
  </si>
  <si>
    <t>D.</t>
  </si>
  <si>
    <t>Average Price (years)</t>
  </si>
  <si>
    <t>5 year</t>
  </si>
  <si>
    <t>7 year</t>
  </si>
  <si>
    <t>10 year</t>
  </si>
  <si>
    <t>RW Wheat</t>
  </si>
  <si>
    <t>YIELD</t>
  </si>
  <si>
    <t>Manitoba</t>
  </si>
  <si>
    <t>Risk Area #1</t>
  </si>
  <si>
    <t>Risk Area #2</t>
  </si>
  <si>
    <t>Risk Area #3</t>
  </si>
  <si>
    <t>Risk Area #4</t>
  </si>
  <si>
    <t>Risk Area #5</t>
  </si>
  <si>
    <t>Risk Area #6</t>
  </si>
  <si>
    <t>Risk Area #7</t>
  </si>
  <si>
    <t>Risk Area #8</t>
  </si>
  <si>
    <t>Risk Area #9</t>
  </si>
  <si>
    <t>Risk Area #10</t>
  </si>
  <si>
    <t>Risk Area #11</t>
  </si>
  <si>
    <t>Risk Area #12</t>
  </si>
  <si>
    <t>Risk Area #14</t>
  </si>
  <si>
    <t>Risk Area #15</t>
  </si>
  <si>
    <t>Risk Area #16</t>
  </si>
  <si>
    <t>Risk Area #12&amp;32</t>
  </si>
  <si>
    <t>Risk Area #32</t>
  </si>
  <si>
    <t>RS Wheat - 5 yr avg</t>
  </si>
  <si>
    <t>RS Wheat - 7 yr avg</t>
  </si>
  <si>
    <t>RS Wheat - 10 yr avg</t>
  </si>
  <si>
    <t>RW Wheat - 5 yr avg</t>
  </si>
  <si>
    <t/>
  </si>
  <si>
    <t>RW Wheat - 7 yr avg</t>
  </si>
  <si>
    <t>RW Wheat - 10 yr avg</t>
  </si>
  <si>
    <t>Barley - 5 yr avg</t>
  </si>
  <si>
    <t>Barley - 7 yr avg</t>
  </si>
  <si>
    <t>Barley - 10 yr avg</t>
  </si>
  <si>
    <t>Canola - 5 yr avg</t>
  </si>
  <si>
    <t>Canola - 7 yr avg</t>
  </si>
  <si>
    <t>Canola - 10 yr avg</t>
  </si>
  <si>
    <t>Corn - 5 yr avg</t>
  </si>
  <si>
    <t>Corn - 7 yr avg</t>
  </si>
  <si>
    <t>Corn - 10 yr avg</t>
  </si>
  <si>
    <t>Oats - 5 yr avg</t>
  </si>
  <si>
    <t>Oats - 7 yr avg</t>
  </si>
  <si>
    <t>Oats - 10 yr avg</t>
  </si>
  <si>
    <t>Soybeans - 5 yr avg</t>
  </si>
  <si>
    <t>Soybeans - 7 yr avg</t>
  </si>
  <si>
    <t>Soybeans - 10 yr avg</t>
  </si>
  <si>
    <t xml:space="preserve">This tool is available as an Excel worksheet at: </t>
  </si>
  <si>
    <t>or at your local</t>
  </si>
  <si>
    <t xml:space="preserve">These budgets may be adjusted by putting in your own figures.  As a producer you are encouraged to calculate your own crop land purchase values for land with differing productive capacity.  On each farm, costs and yields differ due to soil type, climate and agronomic practices.  </t>
  </si>
  <si>
    <t>Crop Land Value Based on Gross Revenue to Land Value Ratio</t>
  </si>
  <si>
    <t>Ratio of Gross Revenue</t>
  </si>
  <si>
    <t>To Land Value</t>
  </si>
  <si>
    <t>(under value asset)</t>
  </si>
  <si>
    <t>(over value asset)</t>
  </si>
  <si>
    <t>Estimated Gross Revenue  per acre</t>
  </si>
  <si>
    <t>(Normal historical asset value range)</t>
  </si>
  <si>
    <t>2.  Per Acre Land Value = Gross Revenue Per Acre / land ratio percentage</t>
  </si>
  <si>
    <t>Annual Land Payment</t>
  </si>
  <si>
    <r>
      <t>Per Acre Land Value</t>
    </r>
    <r>
      <rPr>
        <b/>
        <vertAlign val="superscript"/>
        <sz val="11"/>
        <color indexed="8"/>
        <rFont val="Arial"/>
        <family val="2"/>
      </rPr>
      <t>2</t>
    </r>
  </si>
  <si>
    <t>Land Rental Ratio</t>
  </si>
  <si>
    <t>Land Payment to</t>
  </si>
  <si>
    <t>Estimated</t>
  </si>
  <si>
    <t>3.  Per Acre Land Rental = Annual land payment / land payment to land rental ratio</t>
  </si>
  <si>
    <t>Estimated:</t>
  </si>
  <si>
    <t xml:space="preserve">  (% of Gross Revenue)</t>
  </si>
  <si>
    <r>
      <t xml:space="preserve">  Per Acre Land Rental</t>
    </r>
    <r>
      <rPr>
        <b/>
        <vertAlign val="superscript"/>
        <sz val="11"/>
        <color indexed="8"/>
        <rFont val="Arial"/>
        <family val="2"/>
      </rPr>
      <t>3</t>
    </r>
  </si>
  <si>
    <t>Operating interest rate</t>
  </si>
  <si>
    <t>Price ($ per Unit)</t>
  </si>
  <si>
    <t>Crop Basket on Your Farm (Based on Average Yield &amp; Projected Crop Prices)</t>
  </si>
  <si>
    <t>Land Value - Gross Revenue to Land Value Ratio</t>
  </si>
  <si>
    <t>Land Value Based on Your Farm Crop Basket - Gross Revenue Ratio:</t>
  </si>
  <si>
    <t>E.</t>
  </si>
  <si>
    <t>The summary of options listed below allows users to compare and contrast various methods of calculating land values and identify differences to validate input assumptions specific to your farm.</t>
  </si>
  <si>
    <t>Gross Revenue Multiplier to Land Value - Under Value</t>
  </si>
  <si>
    <t>Gross Revenue Multiplier to Land Value - Low  Normal</t>
  </si>
  <si>
    <t>Gross Revenue Multiplier to Land Value - High Normal</t>
  </si>
  <si>
    <t>Gross Revenue Multiplier to Land Value - Over Value</t>
  </si>
  <si>
    <t xml:space="preserve">Farm Management Specialist         </t>
  </si>
  <si>
    <r>
      <rPr>
        <b/>
        <sz val="11"/>
        <rFont val="Arial"/>
        <family val="2"/>
      </rPr>
      <t xml:space="preserve">Note: </t>
    </r>
    <r>
      <rPr>
        <sz val="11"/>
        <rFont val="Arial"/>
        <family val="2"/>
      </rPr>
      <t>This budget is only a guide and is not intended as an in-depth study of agricultural land values. Interpretation and use of this information is the responsibility of the user.  If you need help with a budget, contact your local Manitoba Agriculture GO Office.</t>
    </r>
  </si>
  <si>
    <t>Crop Basket on Your Farm (Based on Long Term Average Values) &amp; 2016 Operating Costs</t>
  </si>
  <si>
    <r>
      <t>Note:</t>
    </r>
    <r>
      <rPr>
        <sz val="11"/>
        <rFont val="Arial"/>
        <family val="2"/>
      </rPr>
      <t xml:space="preserve"> This budget is only a guide and is not intended as an in-depth study of agricultural land values. Interpretation and use of this information is the responsibility of the user.  If you need help with a budget, contact your local Manitoba Agriculture GO Office.</t>
    </r>
  </si>
  <si>
    <t>is also available to help</t>
  </si>
  <si>
    <t>determine machinery costs.</t>
  </si>
  <si>
    <t xml:space="preserve">This guide is designed to provide planning information, economic considerations, and a format for calculating an estimate of crop land purchase values for in Manitoba.  General Manitoba Agriculture recommendations are assumed for input costs and economic calculations.   Land purchase is a long term investment decision specific to your farm's current cash and equity position and long term enterprise cash flow.  Non economic considerations such as local supply and demand are not included in the calculations but should be considered in any land purchase decision.  The calculated values do not necessarily represent the average crop land values in Manitoba.  </t>
  </si>
  <si>
    <t>Date: April,</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</si>
</sst>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0.0_ ;\-#,##0.0\ "/>
    <numFmt numFmtId="166" formatCode="&quot;$&quot;#,##0.00"/>
    <numFmt numFmtId="167" formatCode="&quot;$&quot;#,##0_);\(&quot;$&quot;#,##0\)"/>
    <numFmt numFmtId="168" formatCode="&quot;Yes&quot;;&quot;Yes&quot;;&quot;No&quot;"/>
    <numFmt numFmtId="169" formatCode="&quot;True&quot;;&quot;True&quot;;&quot;False&quot;"/>
    <numFmt numFmtId="170" formatCode="&quot;On&quot;;&quot;On&quot;;&quot;Off&quot;"/>
    <numFmt numFmtId="171" formatCode="[$€-2]\ #,##0.00_);[Red]\([$€-2]\ #,##0.00\)"/>
    <numFmt numFmtId="172" formatCode="#,##0.00_ ;\-#,##0.00\ "/>
    <numFmt numFmtId="173" formatCode="0.000%"/>
    <numFmt numFmtId="174" formatCode="&quot;$&quot;#,##0.00_);\(&quot;$&quot;#,##0.00\)"/>
    <numFmt numFmtId="175" formatCode="0.0%"/>
    <numFmt numFmtId="176" formatCode="&quot;$&quot;#,##0.00_);[Red]\(&quot;$&quot;#,##0.00\)"/>
    <numFmt numFmtId="177" formatCode="#,##0.0;[Red]\-#,##0.0"/>
    <numFmt numFmtId="178" formatCode="#,##0.0_);[Red]\(#,##0.0\)"/>
    <numFmt numFmtId="179" formatCode="#,##0.000"/>
    <numFmt numFmtId="180" formatCode="&quot;$&quot;#,##0_);[Red]\(&quot;$&quot;#,##0\)"/>
    <numFmt numFmtId="181" formatCode="&quot;$&quot;#,##0"/>
    <numFmt numFmtId="182" formatCode="0.000_);[Red]\(0.000\)"/>
    <numFmt numFmtId="183" formatCode="_-&quot;£&quot;* #,##0_-;\-&quot;£&quot;* #,##0_-;_-&quot;£&quot;* &quot;-&quot;_-;_-@_-"/>
    <numFmt numFmtId="184" formatCode="_-&quot;£&quot;* #,##0.00_-;\-&quot;£&quot;* #,##0.00_-;_-&quot;£&quot;* &quot;-&quot;??_-;_-@_-"/>
    <numFmt numFmtId="185" formatCode="#,##0.0"/>
    <numFmt numFmtId="186" formatCode="0.0"/>
    <numFmt numFmtId="187" formatCode="#,##0.000_ ;[Red]\-#,##0.000\ "/>
    <numFmt numFmtId="188" formatCode="#,##0.0_ ;[Red]\-#,##0.0\ "/>
    <numFmt numFmtId="189" formatCode="&quot;$&quot;#,##0.0;[Red]\-&quot;$&quot;#,##0.0"/>
    <numFmt numFmtId="190" formatCode="#,##0_ ;[Red]\-#,##0\ "/>
  </numFmts>
  <fonts count="104">
    <font>
      <sz val="10"/>
      <name val="Arial"/>
      <family val="2"/>
    </font>
    <font>
      <sz val="11"/>
      <color indexed="8"/>
      <name val="Calibri"/>
      <family val="2"/>
    </font>
    <font>
      <b/>
      <sz val="12"/>
      <name val="Arial"/>
      <family val="2"/>
    </font>
    <font>
      <sz val="14"/>
      <name val="Arial"/>
      <family val="2"/>
    </font>
    <font>
      <b/>
      <sz val="14"/>
      <name val="Arial"/>
      <family val="2"/>
    </font>
    <font>
      <sz val="12"/>
      <name val="Arial"/>
      <family val="2"/>
    </font>
    <font>
      <sz val="11"/>
      <name val="Arial"/>
      <family val="2"/>
    </font>
    <font>
      <b/>
      <sz val="11"/>
      <name val="Arial"/>
      <family val="2"/>
    </font>
    <font>
      <sz val="11"/>
      <name val="Tahoma"/>
      <family val="2"/>
    </font>
    <font>
      <sz val="8"/>
      <name val="Arial"/>
      <family val="2"/>
    </font>
    <font>
      <b/>
      <u val="single"/>
      <sz val="12"/>
      <name val="Arial"/>
      <family val="2"/>
    </font>
    <font>
      <b/>
      <vertAlign val="superscript"/>
      <sz val="12"/>
      <name val="Arial"/>
      <family val="2"/>
    </font>
    <font>
      <b/>
      <sz val="10"/>
      <name val="Arial"/>
      <family val="2"/>
    </font>
    <font>
      <sz val="11"/>
      <color indexed="8"/>
      <name val="Arial"/>
      <family val="2"/>
    </font>
    <font>
      <b/>
      <sz val="11"/>
      <color indexed="8"/>
      <name val="Arial"/>
      <family val="2"/>
    </font>
    <font>
      <b/>
      <sz val="12"/>
      <color indexed="12"/>
      <name val="Arial"/>
      <family val="2"/>
    </font>
    <font>
      <b/>
      <sz val="10"/>
      <color indexed="12"/>
      <name val="Arial"/>
      <family val="2"/>
    </font>
    <font>
      <sz val="22"/>
      <name val="Arial"/>
      <family val="2"/>
    </font>
    <font>
      <sz val="16"/>
      <color indexed="18"/>
      <name val="Arial"/>
      <family val="2"/>
    </font>
    <font>
      <b/>
      <sz val="20"/>
      <color indexed="18"/>
      <name val="Arial"/>
      <family val="2"/>
    </font>
    <font>
      <b/>
      <sz val="16"/>
      <color indexed="18"/>
      <name val="Arial"/>
      <family val="2"/>
    </font>
    <font>
      <u val="single"/>
      <sz val="12"/>
      <name val="Arial"/>
      <family val="2"/>
    </font>
    <font>
      <sz val="10"/>
      <color indexed="12"/>
      <name val="Arial"/>
      <family val="2"/>
    </font>
    <font>
      <sz val="14"/>
      <color indexed="18"/>
      <name val="Arial"/>
      <family val="2"/>
    </font>
    <font>
      <sz val="9"/>
      <name val="Tahoma"/>
      <family val="2"/>
    </font>
    <font>
      <vertAlign val="superscript"/>
      <sz val="12"/>
      <name val="Arial"/>
      <family val="2"/>
    </font>
    <font>
      <b/>
      <vertAlign val="superscript"/>
      <sz val="11"/>
      <color indexed="8"/>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2"/>
      <color indexed="8"/>
      <name val="Arial"/>
      <family val="2"/>
    </font>
    <font>
      <b/>
      <sz val="14"/>
      <color indexed="8"/>
      <name val="Arial"/>
      <family val="2"/>
    </font>
    <font>
      <sz val="8"/>
      <color indexed="8"/>
      <name val="Arial"/>
      <family val="2"/>
    </font>
    <font>
      <b/>
      <u val="single"/>
      <sz val="11"/>
      <color indexed="12"/>
      <name val="Arial"/>
      <family val="2"/>
    </font>
    <font>
      <b/>
      <sz val="12"/>
      <color indexed="10"/>
      <name val="Arial"/>
      <family val="2"/>
    </font>
    <font>
      <b/>
      <sz val="12"/>
      <color indexed="8"/>
      <name val="Arial"/>
      <family val="2"/>
    </font>
    <font>
      <b/>
      <u val="single"/>
      <sz val="12"/>
      <color indexed="12"/>
      <name val="Arial"/>
      <family val="2"/>
    </font>
    <font>
      <sz val="14"/>
      <color indexed="9"/>
      <name val="Arial"/>
      <family val="2"/>
    </font>
    <font>
      <sz val="12"/>
      <color indexed="8"/>
      <name val="Arial"/>
      <family val="2"/>
    </font>
    <font>
      <u val="single"/>
      <sz val="12"/>
      <color indexed="8"/>
      <name val="Arial"/>
      <family val="2"/>
    </font>
    <font>
      <b/>
      <sz val="13.5"/>
      <color indexed="8"/>
      <name val="Arial"/>
      <family val="2"/>
    </font>
    <font>
      <b/>
      <sz val="12"/>
      <color indexed="9"/>
      <name val="Arial"/>
      <family val="2"/>
    </font>
    <font>
      <sz val="12"/>
      <color indexed="9"/>
      <name val="Arial"/>
      <family val="2"/>
    </font>
    <font>
      <b/>
      <sz val="14"/>
      <color indexed="9"/>
      <name val="Arial"/>
      <family val="2"/>
    </font>
    <font>
      <sz val="12"/>
      <color indexed="10"/>
      <name val="Arial"/>
      <family val="2"/>
    </font>
    <font>
      <u val="single"/>
      <sz val="11"/>
      <color indexed="8"/>
      <name val="Calibri"/>
      <family val="2"/>
    </font>
    <font>
      <b/>
      <sz val="10"/>
      <color indexed="8"/>
      <name val="Arial"/>
      <family val="2"/>
    </font>
    <font>
      <b/>
      <u val="single"/>
      <sz val="12"/>
      <color indexed="8"/>
      <name val="Arial"/>
      <family val="2"/>
    </font>
    <font>
      <i/>
      <u val="single"/>
      <sz val="14"/>
      <color indexed="12"/>
      <name val="Arial"/>
      <family val="0"/>
    </font>
    <font>
      <u val="single"/>
      <sz val="14"/>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22"/>
      <color theme="1"/>
      <name val="Arial"/>
      <family val="2"/>
    </font>
    <font>
      <b/>
      <sz val="14"/>
      <color theme="1"/>
      <name val="Arial"/>
      <family val="2"/>
    </font>
    <font>
      <sz val="8"/>
      <color theme="1"/>
      <name val="Arial"/>
      <family val="2"/>
    </font>
    <font>
      <b/>
      <u val="single"/>
      <sz val="11"/>
      <color theme="10"/>
      <name val="Arial"/>
      <family val="2"/>
    </font>
    <font>
      <b/>
      <sz val="12"/>
      <color rgb="FF0000FF"/>
      <name val="Arial"/>
      <family val="2"/>
    </font>
    <font>
      <b/>
      <sz val="12"/>
      <color rgb="FFFF0000"/>
      <name val="Arial"/>
      <family val="2"/>
    </font>
    <font>
      <b/>
      <sz val="12"/>
      <color theme="1"/>
      <name val="Arial"/>
      <family val="2"/>
    </font>
    <font>
      <b/>
      <u val="single"/>
      <sz val="12"/>
      <color rgb="FF0000FF"/>
      <name val="Arial"/>
      <family val="2"/>
    </font>
    <font>
      <sz val="14"/>
      <color theme="0"/>
      <name val="Arial"/>
      <family val="2"/>
    </font>
    <font>
      <sz val="12"/>
      <color theme="1"/>
      <name val="Arial"/>
      <family val="2"/>
    </font>
    <font>
      <u val="single"/>
      <sz val="12"/>
      <color theme="1"/>
      <name val="Arial"/>
      <family val="2"/>
    </font>
    <font>
      <b/>
      <sz val="11"/>
      <color theme="1"/>
      <name val="Arial"/>
      <family val="2"/>
    </font>
    <font>
      <b/>
      <sz val="13.5"/>
      <color theme="1"/>
      <name val="Arial"/>
      <family val="2"/>
    </font>
    <font>
      <b/>
      <sz val="12"/>
      <color theme="0"/>
      <name val="Arial"/>
      <family val="2"/>
    </font>
    <font>
      <sz val="12"/>
      <color theme="0"/>
      <name val="Arial"/>
      <family val="2"/>
    </font>
    <font>
      <b/>
      <sz val="14"/>
      <color theme="0"/>
      <name val="Arial"/>
      <family val="2"/>
    </font>
    <font>
      <sz val="12"/>
      <color rgb="FFFF0000"/>
      <name val="Arial"/>
      <family val="2"/>
    </font>
    <font>
      <u val="single"/>
      <sz val="11"/>
      <color theme="1"/>
      <name val="Calibri"/>
      <family val="2"/>
    </font>
    <font>
      <b/>
      <sz val="10"/>
      <color theme="1"/>
      <name val="Arial"/>
      <family val="2"/>
    </font>
    <font>
      <b/>
      <u val="single"/>
      <sz val="12"/>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58"/>
        <bgColor indexed="64"/>
      </patternFill>
    </fill>
    <fill>
      <patternFill patternType="solid">
        <fgColor theme="1"/>
        <bgColor indexed="64"/>
      </patternFill>
    </fill>
    <fill>
      <patternFill patternType="solid">
        <fgColor theme="0" tint="-0.14995999634265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hair"/>
      <right style="hair"/>
      <top style="hair"/>
      <bottom style="hair"/>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thin"/>
      <right/>
      <top/>
      <bottom/>
    </border>
    <border>
      <left style="thin"/>
      <right style="thin"/>
      <top/>
      <bottom style="thin"/>
    </border>
    <border>
      <left style="thin"/>
      <right/>
      <top/>
      <bottom style="thin"/>
    </border>
    <border>
      <left/>
      <right/>
      <top style="thin"/>
      <bottom/>
    </border>
    <border>
      <left/>
      <right/>
      <top/>
      <bottom style="thin"/>
    </border>
    <border>
      <left/>
      <right style="thin"/>
      <top style="thin"/>
      <bottom style="thin"/>
    </border>
    <border>
      <left style="thin"/>
      <right style="thin"/>
      <top style="thin"/>
      <bottom style="thin"/>
    </border>
    <border>
      <left style="thin"/>
      <right/>
      <top style="thin"/>
      <bottom style="thin"/>
    </border>
    <border>
      <left/>
      <right/>
      <top style="thin"/>
      <bottom style="thin"/>
    </border>
    <border>
      <left/>
      <right style="thin"/>
      <top/>
      <bottom/>
    </border>
    <border>
      <left style="thin"/>
      <right/>
      <top style="thin"/>
      <bottom/>
    </border>
    <border>
      <left style="thin"/>
      <right style="thin"/>
      <top style="thin"/>
      <bottom/>
    </border>
    <border>
      <left/>
      <right style="thin"/>
      <top/>
      <bottom style="thin"/>
    </border>
    <border>
      <left/>
      <right style="thin"/>
      <top style="thin"/>
      <bottom/>
    </border>
    <border>
      <left style="medium">
        <color rgb="FF0000FF"/>
      </left>
      <right style="medium">
        <color rgb="FF0000FF"/>
      </right>
      <top style="medium">
        <color rgb="FF0000FF"/>
      </top>
      <bottom style="medium">
        <color rgb="FF0000FF"/>
      </bottom>
    </border>
  </borders>
  <cellStyleXfs count="89">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0" fontId="5" fillId="0" borderId="0">
      <alignment/>
      <protection/>
    </xf>
    <xf numFmtId="180" fontId="15" fillId="0" borderId="0">
      <alignment/>
      <protection locked="0"/>
    </xf>
    <xf numFmtId="176" fontId="5" fillId="0" borderId="0">
      <alignment/>
      <protection/>
    </xf>
    <xf numFmtId="176" fontId="15" fillId="0" borderId="0">
      <alignment/>
      <protection locked="0"/>
    </xf>
    <xf numFmtId="38" fontId="5" fillId="0" borderId="0">
      <alignment/>
      <protection/>
    </xf>
    <xf numFmtId="38" fontId="15" fillId="0" borderId="0">
      <alignment/>
      <protection locked="0"/>
    </xf>
    <xf numFmtId="178" fontId="5" fillId="0" borderId="0">
      <alignment/>
      <protection/>
    </xf>
    <xf numFmtId="178" fontId="15" fillId="0" borderId="0">
      <alignment/>
      <protection locked="0"/>
    </xf>
    <xf numFmtId="40" fontId="5" fillId="0" borderId="0">
      <alignment/>
      <protection/>
    </xf>
    <xf numFmtId="40" fontId="15" fillId="0" borderId="0">
      <alignment/>
      <protection locked="0"/>
    </xf>
    <xf numFmtId="44" fontId="0" fillId="0" borderId="0" applyFont="0" applyFill="0" applyBorder="0" applyAlignment="0" applyProtection="0"/>
    <xf numFmtId="42" fontId="0" fillId="0" borderId="0" applyFont="0" applyFill="0" applyBorder="0" applyAlignment="0" applyProtection="0"/>
    <xf numFmtId="174" fontId="5" fillId="0" borderId="0">
      <alignment horizontal="right" vertical="justify"/>
      <protection/>
    </xf>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vertical="top"/>
      <protection/>
    </xf>
    <xf numFmtId="0" fontId="0" fillId="0" borderId="0">
      <alignment vertical="top"/>
      <protection/>
    </xf>
    <xf numFmtId="0" fontId="5" fillId="0" borderId="0">
      <alignment vertical="top"/>
      <protection/>
    </xf>
    <xf numFmtId="0" fontId="5" fillId="0" borderId="0">
      <alignment vertical="top"/>
      <protection/>
    </xf>
    <xf numFmtId="166" fontId="5" fillId="0" borderId="0">
      <alignment vertical="top"/>
      <protection/>
    </xf>
    <xf numFmtId="0" fontId="0" fillId="32" borderId="7" applyNumberFormat="0" applyFont="0" applyAlignment="0" applyProtection="0"/>
    <xf numFmtId="38" fontId="0" fillId="33" borderId="8">
      <alignment/>
      <protection/>
    </xf>
    <xf numFmtId="38" fontId="22" fillId="0" borderId="8">
      <alignment/>
      <protection locked="0"/>
    </xf>
    <xf numFmtId="178" fontId="0" fillId="34" borderId="8">
      <alignment/>
      <protection/>
    </xf>
    <xf numFmtId="178" fontId="22" fillId="0" borderId="8">
      <alignment/>
      <protection locked="0"/>
    </xf>
    <xf numFmtId="40" fontId="0" fillId="34" borderId="8">
      <alignment/>
      <protection/>
    </xf>
    <xf numFmtId="40" fontId="22" fillId="0" borderId="8">
      <alignment/>
      <protection locked="0"/>
    </xf>
    <xf numFmtId="0" fontId="79" fillId="27" borderId="9" applyNumberFormat="0" applyAlignment="0" applyProtection="0"/>
    <xf numFmtId="9" fontId="0" fillId="0" borderId="0" applyFont="0" applyFill="0" applyBorder="0" applyAlignment="0" applyProtection="0"/>
    <xf numFmtId="10" fontId="5" fillId="0" borderId="0">
      <alignment/>
      <protection/>
    </xf>
    <xf numFmtId="10" fontId="22" fillId="35" borderId="8">
      <alignment/>
      <protection locked="0"/>
    </xf>
    <xf numFmtId="0" fontId="0" fillId="36" borderId="0">
      <alignment/>
      <protection/>
    </xf>
    <xf numFmtId="0" fontId="80" fillId="0" borderId="0" applyNumberFormat="0" applyFill="0" applyBorder="0" applyAlignment="0" applyProtection="0"/>
    <xf numFmtId="0" fontId="81" fillId="0" borderId="10" applyNumberFormat="0" applyFill="0" applyAlignment="0" applyProtection="0"/>
    <xf numFmtId="183" fontId="0" fillId="0" borderId="0" applyFont="0" applyFill="0" applyBorder="0" applyAlignment="0" applyProtection="0"/>
    <xf numFmtId="184" fontId="0" fillId="0" borderId="0" applyFont="0" applyFill="0" applyBorder="0" applyAlignment="0" applyProtection="0"/>
    <xf numFmtId="0" fontId="82" fillId="0" borderId="0" applyNumberFormat="0" applyFill="0" applyBorder="0" applyAlignment="0" applyProtection="0"/>
  </cellStyleXfs>
  <cellXfs count="412">
    <xf numFmtId="0" fontId="0" fillId="0" borderId="0" xfId="0" applyAlignment="1">
      <alignment vertical="top"/>
    </xf>
    <xf numFmtId="0" fontId="2" fillId="0" borderId="0" xfId="0" applyFont="1" applyFill="1" applyAlignment="1" applyProtection="1">
      <alignment/>
      <protection/>
    </xf>
    <xf numFmtId="0" fontId="3" fillId="0" borderId="0" xfId="0" applyFont="1" applyAlignment="1">
      <alignment/>
    </xf>
    <xf numFmtId="0" fontId="5" fillId="0" borderId="0" xfId="0" applyFont="1" applyAlignment="1">
      <alignment/>
    </xf>
    <xf numFmtId="0" fontId="5" fillId="0" borderId="0" xfId="0" applyFont="1" applyAlignment="1" applyProtection="1">
      <alignment/>
      <protection/>
    </xf>
    <xf numFmtId="0" fontId="6" fillId="0" borderId="0" xfId="0" applyFont="1" applyAlignment="1">
      <alignment/>
    </xf>
    <xf numFmtId="0" fontId="4" fillId="0" borderId="0" xfId="0" applyFont="1" applyAlignment="1">
      <alignment/>
    </xf>
    <xf numFmtId="0" fontId="5" fillId="0" borderId="0" xfId="0" applyFont="1" applyFill="1" applyAlignment="1" applyProtection="1">
      <alignment/>
      <protection/>
    </xf>
    <xf numFmtId="0" fontId="5" fillId="0" borderId="0" xfId="0" applyFont="1" applyFill="1" applyAlignment="1">
      <alignment/>
    </xf>
    <xf numFmtId="0" fontId="3" fillId="0" borderId="0" xfId="0" applyFont="1" applyFill="1" applyAlignment="1">
      <alignment/>
    </xf>
    <xf numFmtId="5" fontId="5" fillId="0" borderId="0" xfId="0" applyNumberFormat="1" applyFont="1" applyFill="1" applyAlignment="1" applyProtection="1">
      <alignment horizontal="right"/>
      <protection/>
    </xf>
    <xf numFmtId="0" fontId="83" fillId="0" borderId="0" xfId="0" applyFont="1" applyFill="1" applyAlignment="1" applyProtection="1">
      <alignment/>
      <protection/>
    </xf>
    <xf numFmtId="0" fontId="83" fillId="0" borderId="0" xfId="0" applyFont="1" applyFill="1" applyAlignment="1" applyProtection="1">
      <alignment horizontal="center"/>
      <protection/>
    </xf>
    <xf numFmtId="0" fontId="0" fillId="0" borderId="0" xfId="0" applyFill="1" applyAlignment="1" applyProtection="1">
      <alignment/>
      <protection/>
    </xf>
    <xf numFmtId="0" fontId="84" fillId="0" borderId="0" xfId="0" applyFont="1" applyFill="1" applyAlignment="1" applyProtection="1">
      <alignment/>
      <protection/>
    </xf>
    <xf numFmtId="0" fontId="85" fillId="0" borderId="0" xfId="0" applyFont="1" applyFill="1" applyAlignment="1" applyProtection="1">
      <alignment/>
      <protection/>
    </xf>
    <xf numFmtId="0" fontId="86" fillId="0" borderId="0" xfId="0" applyFont="1" applyFill="1" applyAlignment="1" applyProtection="1">
      <alignment horizontal="right"/>
      <protection/>
    </xf>
    <xf numFmtId="0" fontId="7" fillId="0" borderId="0" xfId="0" applyFont="1" applyAlignment="1">
      <alignment/>
    </xf>
    <xf numFmtId="0" fontId="0" fillId="0" borderId="0" xfId="0" applyAlignment="1">
      <alignment/>
    </xf>
    <xf numFmtId="166" fontId="87" fillId="0" borderId="0" xfId="63" applyNumberFormat="1" applyFont="1" applyAlignment="1" applyProtection="1">
      <alignment vertical="top"/>
      <protection/>
    </xf>
    <xf numFmtId="0" fontId="10" fillId="0" borderId="11" xfId="0" applyFont="1" applyFill="1" applyBorder="1" applyAlignment="1" applyProtection="1">
      <alignment horizontal="center"/>
      <protection/>
    </xf>
    <xf numFmtId="9" fontId="2" fillId="0" borderId="11" xfId="0" applyNumberFormat="1" applyFont="1" applyFill="1" applyBorder="1" applyAlignment="1" applyProtection="1">
      <alignment horizontal="center"/>
      <protection/>
    </xf>
    <xf numFmtId="7" fontId="2" fillId="0" borderId="11" xfId="0" applyNumberFormat="1" applyFont="1" applyFill="1" applyBorder="1" applyAlignment="1" applyProtection="1">
      <alignment horizontal="center"/>
      <protection/>
    </xf>
    <xf numFmtId="0" fontId="10" fillId="0" borderId="12" xfId="0" applyFont="1" applyFill="1" applyBorder="1" applyAlignment="1" applyProtection="1">
      <alignment horizontal="center"/>
      <protection/>
    </xf>
    <xf numFmtId="0" fontId="5" fillId="0" borderId="12" xfId="0" applyFont="1" applyFill="1" applyBorder="1" applyAlignment="1" applyProtection="1">
      <alignment/>
      <protection/>
    </xf>
    <xf numFmtId="7" fontId="5" fillId="0" borderId="12" xfId="0" applyNumberFormat="1" applyFont="1" applyFill="1" applyBorder="1" applyAlignment="1" applyProtection="1">
      <alignment horizontal="center"/>
      <protection/>
    </xf>
    <xf numFmtId="7" fontId="5" fillId="0" borderId="11" xfId="0" applyNumberFormat="1" applyFont="1" applyFill="1" applyBorder="1" applyAlignment="1" applyProtection="1">
      <alignment horizontal="center"/>
      <protection/>
    </xf>
    <xf numFmtId="7" fontId="5" fillId="0" borderId="0" xfId="0" applyNumberFormat="1" applyFont="1" applyFill="1" applyBorder="1" applyAlignment="1" applyProtection="1">
      <alignment horizontal="center"/>
      <protection/>
    </xf>
    <xf numFmtId="0" fontId="2" fillId="0" borderId="13" xfId="0" applyFont="1" applyFill="1" applyBorder="1" applyAlignment="1" applyProtection="1">
      <alignment horizontal="center" wrapText="1"/>
      <protection/>
    </xf>
    <xf numFmtId="0" fontId="88" fillId="0" borderId="14" xfId="0" applyFont="1" applyFill="1" applyBorder="1" applyAlignment="1" applyProtection="1">
      <alignment horizontal="center" wrapText="1"/>
      <protection locked="0"/>
    </xf>
    <xf numFmtId="166" fontId="2" fillId="0" borderId="12" xfId="0" applyNumberFormat="1" applyFont="1" applyFill="1" applyBorder="1" applyAlignment="1" applyProtection="1">
      <alignment horizontal="center"/>
      <protection/>
    </xf>
    <xf numFmtId="9" fontId="88" fillId="0" borderId="12" xfId="0" applyNumberFormat="1" applyFont="1" applyFill="1" applyBorder="1" applyAlignment="1" applyProtection="1">
      <alignment horizontal="center"/>
      <protection locked="0"/>
    </xf>
    <xf numFmtId="0" fontId="89" fillId="0" borderId="12" xfId="0" applyFont="1" applyFill="1" applyBorder="1" applyAlignment="1" applyProtection="1">
      <alignment/>
      <protection/>
    </xf>
    <xf numFmtId="0" fontId="88" fillId="0" borderId="14" xfId="0" applyFont="1" applyBorder="1" applyAlignment="1" applyProtection="1">
      <alignment horizontal="center" wrapText="1"/>
      <protection locked="0"/>
    </xf>
    <xf numFmtId="9" fontId="88" fillId="0" borderId="12" xfId="0" applyNumberFormat="1" applyFont="1" applyBorder="1" applyAlignment="1" applyProtection="1">
      <alignment horizontal="center"/>
      <protection locked="0"/>
    </xf>
    <xf numFmtId="0" fontId="88" fillId="0" borderId="13" xfId="0" applyFont="1" applyFill="1" applyBorder="1" applyAlignment="1" applyProtection="1">
      <alignment horizontal="center" wrapText="1"/>
      <protection locked="0"/>
    </xf>
    <xf numFmtId="166" fontId="2" fillId="0" borderId="11" xfId="0" applyNumberFormat="1" applyFont="1" applyFill="1" applyBorder="1" applyAlignment="1" applyProtection="1">
      <alignment horizontal="center"/>
      <protection/>
    </xf>
    <xf numFmtId="9" fontId="88" fillId="0" borderId="11" xfId="0" applyNumberFormat="1" applyFont="1" applyFill="1" applyBorder="1" applyAlignment="1" applyProtection="1">
      <alignment horizontal="center"/>
      <protection locked="0"/>
    </xf>
    <xf numFmtId="0" fontId="89" fillId="0" borderId="11" xfId="0" applyFont="1" applyFill="1" applyBorder="1" applyAlignment="1" applyProtection="1">
      <alignment/>
      <protection/>
    </xf>
    <xf numFmtId="0" fontId="89" fillId="0" borderId="12" xfId="0" applyFont="1" applyFill="1" applyBorder="1" applyAlignment="1" applyProtection="1">
      <alignment horizontal="center"/>
      <protection/>
    </xf>
    <xf numFmtId="0" fontId="5" fillId="0" borderId="15" xfId="0" applyFont="1" applyFill="1" applyBorder="1" applyAlignment="1" applyProtection="1">
      <alignment/>
      <protection/>
    </xf>
    <xf numFmtId="0" fontId="5" fillId="0" borderId="14" xfId="0" applyFont="1" applyFill="1" applyBorder="1" applyAlignment="1" applyProtection="1">
      <alignment/>
      <protection/>
    </xf>
    <xf numFmtId="14" fontId="9" fillId="0" borderId="0" xfId="0" applyNumberFormat="1" applyFont="1" applyAlignment="1" applyProtection="1">
      <alignment horizontal="right"/>
      <protection/>
    </xf>
    <xf numFmtId="0" fontId="10" fillId="0" borderId="12" xfId="0" applyFont="1" applyBorder="1" applyAlignment="1" applyProtection="1">
      <alignment horizontal="center"/>
      <protection/>
    </xf>
    <xf numFmtId="166" fontId="88" fillId="0" borderId="12" xfId="0" applyNumberFormat="1" applyFont="1" applyFill="1" applyBorder="1" applyAlignment="1" applyProtection="1">
      <alignment horizontal="center"/>
      <protection/>
    </xf>
    <xf numFmtId="166" fontId="88" fillId="0" borderId="12" xfId="0" applyNumberFormat="1" applyFont="1" applyBorder="1" applyAlignment="1" applyProtection="1">
      <alignment horizontal="center"/>
      <protection/>
    </xf>
    <xf numFmtId="166" fontId="88" fillId="0" borderId="11" xfId="0" applyNumberFormat="1" applyFont="1" applyFill="1" applyBorder="1" applyAlignment="1" applyProtection="1">
      <alignment horizontal="center"/>
      <protection/>
    </xf>
    <xf numFmtId="0" fontId="5" fillId="0" borderId="14" xfId="0" applyFont="1" applyBorder="1" applyAlignment="1" applyProtection="1">
      <alignment/>
      <protection/>
    </xf>
    <xf numFmtId="0" fontId="5" fillId="0" borderId="13" xfId="0" applyFont="1" applyBorder="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90" fillId="0" borderId="0" xfId="0" applyFont="1" applyBorder="1" applyAlignment="1" applyProtection="1">
      <alignment/>
      <protection/>
    </xf>
    <xf numFmtId="0" fontId="0" fillId="0" borderId="0" xfId="0" applyBorder="1" applyAlignment="1" applyProtection="1">
      <alignment/>
      <protection/>
    </xf>
    <xf numFmtId="0" fontId="7" fillId="0" borderId="0" xfId="0" applyFont="1" applyAlignment="1" applyProtection="1">
      <alignment/>
      <protection/>
    </xf>
    <xf numFmtId="0" fontId="6" fillId="0" borderId="0" xfId="0" applyFont="1" applyAlignment="1" applyProtection="1">
      <alignment/>
      <protection/>
    </xf>
    <xf numFmtId="166" fontId="6" fillId="0" borderId="0" xfId="71" applyFont="1" applyBorder="1" applyProtection="1">
      <alignment vertical="top"/>
      <protection/>
    </xf>
    <xf numFmtId="0" fontId="91" fillId="0" borderId="0" xfId="0" applyFont="1" applyAlignment="1">
      <alignment horizontal="left" vertical="top"/>
    </xf>
    <xf numFmtId="0" fontId="83" fillId="0" borderId="0" xfId="0" applyFont="1" applyFill="1" applyAlignment="1" applyProtection="1">
      <alignment horizontal="left" wrapText="1"/>
      <protection/>
    </xf>
    <xf numFmtId="166" fontId="5" fillId="0" borderId="0" xfId="71" applyBorder="1">
      <alignment vertical="top"/>
      <protection/>
    </xf>
    <xf numFmtId="166" fontId="5" fillId="0" borderId="0" xfId="71">
      <alignment vertical="top"/>
      <protection/>
    </xf>
    <xf numFmtId="166" fontId="17" fillId="0" borderId="0" xfId="71" applyFont="1" applyBorder="1" applyAlignment="1">
      <alignment vertical="center"/>
      <protection/>
    </xf>
    <xf numFmtId="166" fontId="5" fillId="0" borderId="0" xfId="71" applyBorder="1" applyAlignment="1">
      <alignment vertical="center"/>
      <protection/>
    </xf>
    <xf numFmtId="166" fontId="5" fillId="0" borderId="0" xfId="71" applyAlignment="1">
      <alignment vertical="center"/>
      <protection/>
    </xf>
    <xf numFmtId="166" fontId="4" fillId="0" borderId="0" xfId="71" applyFont="1" applyAlignment="1">
      <alignment horizontal="right" vertical="top"/>
      <protection/>
    </xf>
    <xf numFmtId="1" fontId="4" fillId="0" borderId="0" xfId="71" applyNumberFormat="1" applyFont="1" applyAlignment="1">
      <alignment horizontal="left" vertical="top"/>
      <protection/>
    </xf>
    <xf numFmtId="166" fontId="3" fillId="0" borderId="0" xfId="71" applyFont="1" applyAlignment="1">
      <alignment horizontal="left" vertical="top" wrapText="1"/>
      <protection/>
    </xf>
    <xf numFmtId="0" fontId="0" fillId="0" borderId="0" xfId="67" applyAlignment="1">
      <alignment vertical="top"/>
      <protection/>
    </xf>
    <xf numFmtId="0" fontId="0" fillId="0" borderId="0" xfId="67" applyAlignment="1">
      <alignment vertical="top" wrapText="1"/>
      <protection/>
    </xf>
    <xf numFmtId="166" fontId="5" fillId="0" borderId="0" xfId="71" applyFont="1" applyAlignment="1">
      <alignment vertical="top" wrapText="1"/>
      <protection/>
    </xf>
    <xf numFmtId="0" fontId="6" fillId="0" borderId="0" xfId="67" applyFont="1" applyAlignment="1">
      <alignment vertical="top" wrapText="1"/>
      <protection/>
    </xf>
    <xf numFmtId="0" fontId="0" fillId="0" borderId="0" xfId="67" applyAlignment="1">
      <alignment horizontal="center"/>
      <protection/>
    </xf>
    <xf numFmtId="3" fontId="5" fillId="0" borderId="0" xfId="69" applyNumberFormat="1" applyAlignment="1" applyProtection="1">
      <alignment/>
      <protection/>
    </xf>
    <xf numFmtId="3" fontId="5" fillId="0" borderId="0" xfId="69" applyNumberFormat="1" applyAlignment="1">
      <alignment/>
      <protection/>
    </xf>
    <xf numFmtId="3" fontId="2" fillId="0" borderId="0" xfId="69" applyNumberFormat="1" applyFont="1" applyAlignment="1" applyProtection="1">
      <alignment/>
      <protection/>
    </xf>
    <xf numFmtId="3" fontId="5" fillId="0" borderId="0" xfId="69" applyNumberFormat="1" applyFont="1" applyAlignment="1" applyProtection="1" quotePrefix="1">
      <alignment wrapText="1"/>
      <protection/>
    </xf>
    <xf numFmtId="3" fontId="3" fillId="0" borderId="0" xfId="69" applyNumberFormat="1" applyFont="1" applyAlignment="1">
      <alignment/>
      <protection/>
    </xf>
    <xf numFmtId="3" fontId="5" fillId="0" borderId="0" xfId="69" applyNumberFormat="1" applyFont="1" applyAlignment="1" applyProtection="1">
      <alignment/>
      <protection/>
    </xf>
    <xf numFmtId="174" fontId="15" fillId="0" borderId="0" xfId="69" applyNumberFormat="1" applyFont="1" applyAlignment="1" applyProtection="1">
      <alignment/>
      <protection/>
    </xf>
    <xf numFmtId="3" fontId="5" fillId="0" borderId="0" xfId="69" applyNumberFormat="1" applyFont="1" applyFill="1" applyAlignment="1">
      <alignment/>
      <protection/>
    </xf>
    <xf numFmtId="3" fontId="5" fillId="0" borderId="0" xfId="69" applyNumberFormat="1" applyFont="1" applyAlignment="1">
      <alignment/>
      <protection/>
    </xf>
    <xf numFmtId="3" fontId="92" fillId="37" borderId="0" xfId="69" applyNumberFormat="1" applyFont="1" applyFill="1" applyAlignment="1">
      <alignment/>
      <protection/>
    </xf>
    <xf numFmtId="3" fontId="23" fillId="0" borderId="0" xfId="69" applyNumberFormat="1" applyFont="1" applyAlignment="1" applyProtection="1">
      <alignment horizontal="center"/>
      <protection/>
    </xf>
    <xf numFmtId="3" fontId="21" fillId="0" borderId="0" xfId="69" applyNumberFormat="1" applyFont="1" applyAlignment="1" applyProtection="1">
      <alignment/>
      <protection/>
    </xf>
    <xf numFmtId="166" fontId="5" fillId="0" borderId="0" xfId="69" applyNumberFormat="1" applyFont="1" applyFill="1" applyAlignment="1">
      <alignment horizontal="right"/>
      <protection/>
    </xf>
    <xf numFmtId="3" fontId="3" fillId="0" borderId="0" xfId="69" applyNumberFormat="1" applyFont="1" applyAlignment="1" applyProtection="1">
      <alignment/>
      <protection/>
    </xf>
    <xf numFmtId="0" fontId="5" fillId="0" borderId="0" xfId="0" applyFont="1" applyBorder="1" applyAlignment="1" applyProtection="1">
      <alignment/>
      <protection/>
    </xf>
    <xf numFmtId="0" fontId="5" fillId="0" borderId="0" xfId="0" applyFont="1" applyFill="1" applyBorder="1" applyAlignment="1" applyProtection="1">
      <alignment/>
      <protection/>
    </xf>
    <xf numFmtId="0" fontId="2" fillId="0" borderId="12" xfId="0" applyFont="1" applyFill="1" applyBorder="1" applyAlignment="1" applyProtection="1">
      <alignment/>
      <protection/>
    </xf>
    <xf numFmtId="0" fontId="2" fillId="0" borderId="0" xfId="0" applyFont="1" applyFill="1" applyBorder="1" applyAlignment="1" applyProtection="1">
      <alignment/>
      <protection/>
    </xf>
    <xf numFmtId="0" fontId="5" fillId="0" borderId="16" xfId="0" applyFont="1" applyFill="1" applyBorder="1" applyAlignment="1" applyProtection="1">
      <alignment/>
      <protection/>
    </xf>
    <xf numFmtId="0" fontId="5" fillId="0" borderId="17" xfId="0" applyFont="1" applyFill="1" applyBorder="1" applyAlignment="1" applyProtection="1">
      <alignment/>
      <protection/>
    </xf>
    <xf numFmtId="0" fontId="2" fillId="0" borderId="18" xfId="0" applyFont="1" applyFill="1" applyBorder="1" applyAlignment="1" applyProtection="1">
      <alignment horizontal="center" wrapText="1"/>
      <protection/>
    </xf>
    <xf numFmtId="0" fontId="2" fillId="0" borderId="19" xfId="0" applyFont="1" applyFill="1" applyBorder="1" applyAlignment="1" applyProtection="1">
      <alignment horizontal="center" wrapText="1"/>
      <protection/>
    </xf>
    <xf numFmtId="0" fontId="2" fillId="0" borderId="19" xfId="0" applyFont="1" applyBorder="1" applyAlignment="1" applyProtection="1">
      <alignment horizontal="center" wrapText="1"/>
      <protection/>
    </xf>
    <xf numFmtId="0" fontId="5" fillId="0" borderId="20" xfId="0" applyFont="1" applyFill="1" applyBorder="1" applyAlignment="1" applyProtection="1">
      <alignment/>
      <protection/>
    </xf>
    <xf numFmtId="166" fontId="2" fillId="0" borderId="0" xfId="71" applyFont="1">
      <alignment vertical="top"/>
      <protection/>
    </xf>
    <xf numFmtId="166" fontId="5" fillId="0" borderId="0" xfId="71" applyFont="1">
      <alignment vertical="top"/>
      <protection/>
    </xf>
    <xf numFmtId="0" fontId="0" fillId="0" borderId="0" xfId="0" applyFill="1" applyAlignment="1">
      <alignment vertical="top" wrapText="1"/>
    </xf>
    <xf numFmtId="0" fontId="2" fillId="0" borderId="19" xfId="0" applyFont="1" applyFill="1" applyBorder="1" applyAlignment="1" applyProtection="1">
      <alignment/>
      <protection/>
    </xf>
    <xf numFmtId="0" fontId="5" fillId="0" borderId="0" xfId="0" applyFont="1" applyBorder="1" applyAlignment="1">
      <alignment/>
    </xf>
    <xf numFmtId="0" fontId="2" fillId="0" borderId="21" xfId="0" applyFont="1" applyFill="1" applyBorder="1" applyAlignment="1" applyProtection="1">
      <alignment/>
      <protection/>
    </xf>
    <xf numFmtId="0" fontId="2" fillId="0" borderId="20" xfId="0" applyFont="1" applyFill="1" applyBorder="1" applyAlignment="1" applyProtection="1">
      <alignment horizontal="center" wrapText="1"/>
      <protection/>
    </xf>
    <xf numFmtId="0" fontId="2" fillId="0" borderId="22" xfId="0" applyFont="1" applyFill="1" applyBorder="1" applyAlignment="1" applyProtection="1">
      <alignment/>
      <protection/>
    </xf>
    <xf numFmtId="0" fontId="10" fillId="0" borderId="23" xfId="0" applyFont="1" applyFill="1" applyBorder="1" applyAlignment="1" applyProtection="1">
      <alignment horizontal="center"/>
      <protection/>
    </xf>
    <xf numFmtId="0" fontId="5" fillId="0" borderId="24" xfId="0" applyFont="1" applyBorder="1" applyAlignment="1" applyProtection="1">
      <alignment/>
      <protection/>
    </xf>
    <xf numFmtId="0" fontId="93" fillId="0" borderId="0" xfId="0" applyFont="1" applyFill="1" applyAlignment="1" applyProtection="1">
      <alignment horizontal="left"/>
      <protection/>
    </xf>
    <xf numFmtId="0" fontId="93" fillId="0" borderId="0" xfId="0" applyFont="1" applyFill="1" applyAlignment="1" applyProtection="1">
      <alignment horizontal="left" wrapText="1"/>
      <protection/>
    </xf>
    <xf numFmtId="0" fontId="94" fillId="0" borderId="0" xfId="0" applyFont="1" applyFill="1" applyAlignment="1" applyProtection="1">
      <alignment horizontal="left"/>
      <protection/>
    </xf>
    <xf numFmtId="166" fontId="90" fillId="0" borderId="0" xfId="0" applyNumberFormat="1" applyFont="1" applyFill="1" applyBorder="1" applyAlignment="1" applyProtection="1">
      <alignment horizontal="right" wrapText="1"/>
      <protection/>
    </xf>
    <xf numFmtId="7" fontId="93" fillId="0" borderId="0" xfId="0" applyNumberFormat="1" applyFont="1" applyFill="1" applyAlignment="1" applyProtection="1">
      <alignment horizontal="right" wrapText="1"/>
      <protection/>
    </xf>
    <xf numFmtId="0" fontId="2" fillId="0" borderId="22" xfId="0" applyFont="1" applyFill="1" applyBorder="1" applyAlignment="1" applyProtection="1">
      <alignment horizontal="center" wrapText="1"/>
      <protection/>
    </xf>
    <xf numFmtId="0" fontId="10" fillId="0" borderId="23" xfId="0" applyFont="1" applyBorder="1" applyAlignment="1" applyProtection="1">
      <alignment horizontal="center"/>
      <protection/>
    </xf>
    <xf numFmtId="9" fontId="88" fillId="0" borderId="0" xfId="0" applyNumberFormat="1" applyFont="1" applyFill="1" applyBorder="1" applyAlignment="1" applyProtection="1">
      <alignment horizontal="center"/>
      <protection locked="0"/>
    </xf>
    <xf numFmtId="0" fontId="89" fillId="0" borderId="13" xfId="0" applyFont="1" applyFill="1" applyBorder="1" applyAlignment="1" applyProtection="1">
      <alignment horizontal="center"/>
      <protection/>
    </xf>
    <xf numFmtId="3" fontId="5" fillId="0" borderId="0" xfId="69" applyNumberFormat="1" applyFont="1" applyFill="1" applyAlignment="1">
      <alignment horizontal="right"/>
      <protection/>
    </xf>
    <xf numFmtId="166" fontId="5" fillId="0" borderId="0" xfId="69" applyNumberFormat="1" applyFont="1" applyAlignment="1">
      <alignment/>
      <protection/>
    </xf>
    <xf numFmtId="3" fontId="2" fillId="0" borderId="0" xfId="69" applyNumberFormat="1" applyFont="1" applyFill="1" applyAlignment="1">
      <alignment/>
      <protection/>
    </xf>
    <xf numFmtId="9" fontId="88" fillId="0" borderId="0" xfId="0" applyNumberFormat="1" applyFont="1" applyBorder="1" applyAlignment="1" applyProtection="1">
      <alignment horizontal="center"/>
      <protection locked="0"/>
    </xf>
    <xf numFmtId="0" fontId="89" fillId="0" borderId="11" xfId="0" applyFont="1" applyFill="1" applyBorder="1" applyAlignment="1" applyProtection="1">
      <alignment horizontal="center"/>
      <protection/>
    </xf>
    <xf numFmtId="0" fontId="5" fillId="0" borderId="12" xfId="0" applyFont="1" applyBorder="1" applyAlignment="1" applyProtection="1">
      <alignment/>
      <protection/>
    </xf>
    <xf numFmtId="0" fontId="95" fillId="0" borderId="0" xfId="0" applyFont="1" applyFill="1" applyAlignment="1" applyProtection="1">
      <alignment/>
      <protection/>
    </xf>
    <xf numFmtId="0" fontId="5" fillId="0" borderId="21" xfId="0" applyFont="1" applyFill="1" applyBorder="1" applyAlignment="1" applyProtection="1">
      <alignment/>
      <protection/>
    </xf>
    <xf numFmtId="0" fontId="5" fillId="0" borderId="24" xfId="0" applyFont="1" applyFill="1" applyBorder="1" applyAlignment="1" applyProtection="1">
      <alignment/>
      <protection/>
    </xf>
    <xf numFmtId="0" fontId="10" fillId="0" borderId="21" xfId="0" applyFont="1" applyFill="1" applyBorder="1" applyAlignment="1" applyProtection="1">
      <alignment horizontal="center"/>
      <protection/>
    </xf>
    <xf numFmtId="9" fontId="2" fillId="0" borderId="21" xfId="0" applyNumberFormat="1" applyFont="1" applyFill="1" applyBorder="1" applyAlignment="1" applyProtection="1">
      <alignment horizontal="center"/>
      <protection/>
    </xf>
    <xf numFmtId="0" fontId="96" fillId="0" borderId="0" xfId="0" applyFont="1" applyFill="1" applyAlignment="1" applyProtection="1">
      <alignment/>
      <protection/>
    </xf>
    <xf numFmtId="0" fontId="2" fillId="0" borderId="0" xfId="0" applyFont="1" applyFill="1" applyAlignment="1" applyProtection="1">
      <alignment vertical="center"/>
      <protection/>
    </xf>
    <xf numFmtId="166" fontId="2" fillId="0" borderId="0" xfId="71" applyFont="1" applyAlignment="1">
      <alignment vertical="center"/>
      <protection/>
    </xf>
    <xf numFmtId="0" fontId="5" fillId="0" borderId="0" xfId="0" applyFont="1" applyAlignment="1">
      <alignment vertical="center"/>
    </xf>
    <xf numFmtId="3" fontId="5" fillId="0" borderId="0" xfId="69" applyNumberFormat="1" applyFont="1" applyFill="1" applyAlignment="1">
      <alignment horizontal="left" vertical="top" wrapText="1"/>
      <protection/>
    </xf>
    <xf numFmtId="166" fontId="2" fillId="0" borderId="11" xfId="0" applyNumberFormat="1" applyFont="1" applyFill="1" applyBorder="1" applyAlignment="1" applyProtection="1">
      <alignment horizontal="center"/>
      <protection locked="0"/>
    </xf>
    <xf numFmtId="0" fontId="88" fillId="0" borderId="21" xfId="0" applyFont="1" applyFill="1" applyBorder="1" applyAlignment="1" applyProtection="1">
      <alignment horizontal="center"/>
      <protection/>
    </xf>
    <xf numFmtId="0" fontId="88" fillId="0" borderId="0" xfId="0" applyFont="1" applyFill="1" applyBorder="1" applyAlignment="1">
      <alignment/>
    </xf>
    <xf numFmtId="0" fontId="2" fillId="0" borderId="17" xfId="0" applyFont="1" applyFill="1" applyBorder="1" applyAlignment="1" applyProtection="1">
      <alignment horizontal="center" wrapText="1"/>
      <protection/>
    </xf>
    <xf numFmtId="0" fontId="5" fillId="0" borderId="11" xfId="0" applyFont="1" applyBorder="1" applyAlignment="1">
      <alignment/>
    </xf>
    <xf numFmtId="0" fontId="83" fillId="0" borderId="0" xfId="0" applyFont="1" applyFill="1" applyAlignment="1" applyProtection="1">
      <alignment horizontal="left" wrapText="1"/>
      <protection/>
    </xf>
    <xf numFmtId="0" fontId="6" fillId="0" borderId="0" xfId="0" applyFont="1" applyAlignment="1" applyProtection="1">
      <alignment horizontal="left"/>
      <protection/>
    </xf>
    <xf numFmtId="0" fontId="83" fillId="0" borderId="0" xfId="0" applyFont="1" applyFill="1" applyAlignment="1" applyProtection="1">
      <alignment horizontal="right"/>
      <protection/>
    </xf>
    <xf numFmtId="0" fontId="6" fillId="0" borderId="0" xfId="0" applyFont="1" applyFill="1" applyAlignment="1" applyProtection="1">
      <alignment/>
      <protection/>
    </xf>
    <xf numFmtId="0" fontId="97" fillId="37" borderId="12" xfId="0" applyFont="1" applyFill="1" applyBorder="1" applyAlignment="1" applyProtection="1">
      <alignment/>
      <protection/>
    </xf>
    <xf numFmtId="0" fontId="98" fillId="37" borderId="0" xfId="0" applyFont="1" applyFill="1" applyBorder="1" applyAlignment="1" applyProtection="1">
      <alignment/>
      <protection/>
    </xf>
    <xf numFmtId="0" fontId="5" fillId="0" borderId="0" xfId="0" applyFont="1" applyAlignment="1" quotePrefix="1">
      <alignment/>
    </xf>
    <xf numFmtId="0" fontId="2" fillId="0" borderId="22" xfId="0" applyFont="1" applyFill="1" applyBorder="1" applyAlignment="1" applyProtection="1">
      <alignment horizontal="right"/>
      <protection/>
    </xf>
    <xf numFmtId="0" fontId="3" fillId="0" borderId="12" xfId="0" applyFont="1" applyFill="1" applyBorder="1" applyAlignment="1" applyProtection="1">
      <alignment/>
      <protection/>
    </xf>
    <xf numFmtId="0" fontId="2" fillId="0" borderId="12" xfId="0" applyFont="1" applyFill="1" applyBorder="1" applyAlignment="1" applyProtection="1">
      <alignment horizontal="right"/>
      <protection/>
    </xf>
    <xf numFmtId="165" fontId="88" fillId="0" borderId="12" xfId="0" applyNumberFormat="1" applyFont="1" applyFill="1" applyBorder="1" applyAlignment="1" applyProtection="1">
      <alignment horizontal="center"/>
      <protection/>
    </xf>
    <xf numFmtId="164" fontId="5" fillId="0" borderId="12" xfId="0" applyNumberFormat="1" applyFont="1" applyFill="1" applyBorder="1" applyAlignment="1" applyProtection="1">
      <alignment horizontal="right"/>
      <protection/>
    </xf>
    <xf numFmtId="164" fontId="5" fillId="0" borderId="11" xfId="0" applyNumberFormat="1" applyFont="1" applyFill="1" applyBorder="1" applyAlignment="1" applyProtection="1">
      <alignment horizontal="right"/>
      <protection/>
    </xf>
    <xf numFmtId="7" fontId="2" fillId="0" borderId="12" xfId="0" applyNumberFormat="1" applyFont="1" applyFill="1" applyBorder="1" applyAlignment="1" applyProtection="1">
      <alignment horizontal="center"/>
      <protection/>
    </xf>
    <xf numFmtId="7" fontId="5" fillId="0" borderId="12" xfId="0" applyNumberFormat="1" applyFont="1" applyFill="1" applyBorder="1" applyAlignment="1" applyProtection="1">
      <alignment horizontal="right"/>
      <protection/>
    </xf>
    <xf numFmtId="7" fontId="5" fillId="0" borderId="11" xfId="0" applyNumberFormat="1" applyFont="1" applyFill="1" applyBorder="1" applyAlignment="1" applyProtection="1">
      <alignment horizontal="right"/>
      <protection/>
    </xf>
    <xf numFmtId="5" fontId="2" fillId="0" borderId="12" xfId="0" applyNumberFormat="1" applyFont="1" applyFill="1" applyBorder="1" applyAlignment="1" applyProtection="1">
      <alignment horizontal="center"/>
      <protection/>
    </xf>
    <xf numFmtId="5" fontId="5" fillId="0" borderId="12" xfId="0" applyNumberFormat="1" applyFont="1" applyFill="1" applyBorder="1" applyAlignment="1" applyProtection="1">
      <alignment horizontal="center"/>
      <protection/>
    </xf>
    <xf numFmtId="5" fontId="5" fillId="0" borderId="11" xfId="0" applyNumberFormat="1" applyFont="1" applyFill="1" applyBorder="1" applyAlignment="1" applyProtection="1">
      <alignment horizontal="center"/>
      <protection/>
    </xf>
    <xf numFmtId="5" fontId="5" fillId="0" borderId="12" xfId="0" applyNumberFormat="1" applyFont="1" applyFill="1" applyBorder="1" applyAlignment="1" applyProtection="1">
      <alignment horizontal="right"/>
      <protection/>
    </xf>
    <xf numFmtId="5" fontId="5" fillId="0" borderId="11" xfId="0" applyNumberFormat="1" applyFont="1" applyFill="1" applyBorder="1" applyAlignment="1" applyProtection="1">
      <alignment horizontal="right"/>
      <protection/>
    </xf>
    <xf numFmtId="5" fontId="5" fillId="0" borderId="14" xfId="0" applyNumberFormat="1" applyFont="1" applyFill="1" applyBorder="1" applyAlignment="1" applyProtection="1">
      <alignment horizontal="right"/>
      <protection/>
    </xf>
    <xf numFmtId="5" fontId="5" fillId="0" borderId="13" xfId="0" applyNumberFormat="1" applyFont="1" applyFill="1" applyBorder="1" applyAlignment="1" applyProtection="1">
      <alignment horizontal="right"/>
      <protection/>
    </xf>
    <xf numFmtId="0" fontId="0" fillId="0" borderId="0" xfId="0" applyAlignment="1" applyProtection="1">
      <alignment/>
      <protection/>
    </xf>
    <xf numFmtId="10" fontId="2" fillId="0" borderId="0" xfId="0" applyNumberFormat="1" applyFont="1" applyFill="1" applyBorder="1" applyAlignment="1" applyProtection="1">
      <alignment horizontal="center"/>
      <protection/>
    </xf>
    <xf numFmtId="172" fontId="2" fillId="0" borderId="0" xfId="0" applyNumberFormat="1" applyFont="1" applyFill="1" applyBorder="1" applyAlignment="1" applyProtection="1">
      <alignment horizontal="center"/>
      <protection/>
    </xf>
    <xf numFmtId="173" fontId="2" fillId="0" borderId="0" xfId="0" applyNumberFormat="1" applyFont="1" applyFill="1" applyBorder="1" applyAlignment="1" applyProtection="1">
      <alignment horizontal="center"/>
      <protection/>
    </xf>
    <xf numFmtId="165" fontId="2" fillId="0" borderId="0" xfId="0" applyNumberFormat="1" applyFont="1" applyFill="1" applyBorder="1" applyAlignment="1" applyProtection="1">
      <alignment horizontal="center"/>
      <protection/>
    </xf>
    <xf numFmtId="0" fontId="2" fillId="0" borderId="14" xfId="0" applyFont="1" applyFill="1" applyBorder="1" applyAlignment="1" applyProtection="1">
      <alignment horizontal="center" wrapText="1"/>
      <protection/>
    </xf>
    <xf numFmtId="166" fontId="2" fillId="0" borderId="12" xfId="0" applyNumberFormat="1" applyFont="1" applyFill="1" applyBorder="1" applyAlignment="1" applyProtection="1">
      <alignment horizontal="center"/>
      <protection locked="0"/>
    </xf>
    <xf numFmtId="1" fontId="2" fillId="0" borderId="12" xfId="0" applyNumberFormat="1" applyFont="1" applyFill="1" applyBorder="1" applyAlignment="1" applyProtection="1">
      <alignment horizontal="center"/>
      <protection locked="0"/>
    </xf>
    <xf numFmtId="1" fontId="2" fillId="0" borderId="11" xfId="0" applyNumberFormat="1" applyFont="1" applyFill="1" applyBorder="1" applyAlignment="1" applyProtection="1">
      <alignment horizontal="center"/>
      <protection locked="0"/>
    </xf>
    <xf numFmtId="9" fontId="2" fillId="0" borderId="12" xfId="0" applyNumberFormat="1" applyFont="1" applyFill="1" applyBorder="1" applyAlignment="1" applyProtection="1">
      <alignment horizontal="center"/>
      <protection locked="0"/>
    </xf>
    <xf numFmtId="9" fontId="2" fillId="0" borderId="11" xfId="0" applyNumberFormat="1" applyFont="1" applyFill="1" applyBorder="1" applyAlignment="1" applyProtection="1">
      <alignment horizontal="center"/>
      <protection locked="0"/>
    </xf>
    <xf numFmtId="0" fontId="5" fillId="0" borderId="11" xfId="0" applyFont="1" applyFill="1" applyBorder="1" applyAlignment="1" applyProtection="1">
      <alignment horizontal="right"/>
      <protection/>
    </xf>
    <xf numFmtId="0" fontId="5" fillId="0" borderId="13" xfId="0" applyFont="1" applyFill="1" applyBorder="1" applyAlignment="1" applyProtection="1">
      <alignment/>
      <protection/>
    </xf>
    <xf numFmtId="0" fontId="5" fillId="38" borderId="22" xfId="0" applyFont="1" applyFill="1" applyBorder="1" applyAlignment="1" applyProtection="1">
      <alignment/>
      <protection/>
    </xf>
    <xf numFmtId="0" fontId="5" fillId="38" borderId="15" xfId="0" applyFont="1" applyFill="1" applyBorder="1" applyAlignment="1" applyProtection="1">
      <alignment/>
      <protection/>
    </xf>
    <xf numFmtId="164" fontId="5" fillId="38" borderId="15" xfId="0" applyNumberFormat="1" applyFont="1" applyFill="1" applyBorder="1" applyAlignment="1" applyProtection="1">
      <alignment horizontal="right"/>
      <protection/>
    </xf>
    <xf numFmtId="164" fontId="5" fillId="38" borderId="25" xfId="0" applyNumberFormat="1" applyFont="1" applyFill="1" applyBorder="1" applyAlignment="1" applyProtection="1">
      <alignment horizontal="right"/>
      <protection/>
    </xf>
    <xf numFmtId="0" fontId="3" fillId="38" borderId="12" xfId="0" applyFont="1" applyFill="1" applyBorder="1" applyAlignment="1" applyProtection="1">
      <alignment/>
      <protection/>
    </xf>
    <xf numFmtId="0" fontId="3" fillId="38" borderId="0" xfId="0" applyFont="1" applyFill="1" applyBorder="1" applyAlignment="1" applyProtection="1">
      <alignment/>
      <protection/>
    </xf>
    <xf numFmtId="0" fontId="2" fillId="38" borderId="0" xfId="0" applyFont="1" applyFill="1" applyBorder="1" applyAlignment="1" applyProtection="1">
      <alignment horizontal="right"/>
      <protection/>
    </xf>
    <xf numFmtId="0" fontId="3" fillId="38" borderId="21" xfId="0" applyFont="1" applyFill="1" applyBorder="1" applyAlignment="1" applyProtection="1">
      <alignment/>
      <protection/>
    </xf>
    <xf numFmtId="0" fontId="5" fillId="38" borderId="0" xfId="0" applyFont="1" applyFill="1" applyBorder="1" applyAlignment="1" applyProtection="1">
      <alignment/>
      <protection/>
    </xf>
    <xf numFmtId="164" fontId="5" fillId="38" borderId="0" xfId="0" applyNumberFormat="1" applyFont="1" applyFill="1" applyBorder="1" applyAlignment="1" applyProtection="1">
      <alignment horizontal="right"/>
      <protection/>
    </xf>
    <xf numFmtId="164" fontId="5" fillId="38" borderId="21" xfId="0" applyNumberFormat="1" applyFont="1" applyFill="1" applyBorder="1" applyAlignment="1" applyProtection="1">
      <alignment horizontal="right"/>
      <protection/>
    </xf>
    <xf numFmtId="0" fontId="3" fillId="38" borderId="14" xfId="0" applyFont="1" applyFill="1" applyBorder="1" applyAlignment="1" applyProtection="1">
      <alignment/>
      <protection/>
    </xf>
    <xf numFmtId="0" fontId="5" fillId="38" borderId="16" xfId="0" applyFont="1" applyFill="1" applyBorder="1" applyAlignment="1" applyProtection="1">
      <alignment/>
      <protection/>
    </xf>
    <xf numFmtId="0" fontId="3" fillId="38" borderId="16" xfId="0" applyFont="1" applyFill="1" applyBorder="1" applyAlignment="1" applyProtection="1">
      <alignment/>
      <protection/>
    </xf>
    <xf numFmtId="0" fontId="2" fillId="38" borderId="16" xfId="0" applyFont="1" applyFill="1" applyBorder="1" applyAlignment="1" applyProtection="1">
      <alignment horizontal="right"/>
      <protection/>
    </xf>
    <xf numFmtId="10" fontId="88" fillId="38" borderId="16" xfId="0" applyNumberFormat="1" applyFont="1" applyFill="1" applyBorder="1" applyAlignment="1" applyProtection="1">
      <alignment horizontal="center"/>
      <protection/>
    </xf>
    <xf numFmtId="164" fontId="5" fillId="38" borderId="16" xfId="0" applyNumberFormat="1" applyFont="1" applyFill="1" applyBorder="1" applyAlignment="1" applyProtection="1">
      <alignment horizontal="right"/>
      <protection/>
    </xf>
    <xf numFmtId="164" fontId="5" fillId="38" borderId="24" xfId="0" applyNumberFormat="1" applyFont="1" applyFill="1" applyBorder="1" applyAlignment="1" applyProtection="1">
      <alignment horizontal="right"/>
      <protection/>
    </xf>
    <xf numFmtId="0" fontId="12" fillId="0" borderId="16" xfId="0" applyFont="1" applyFill="1" applyBorder="1" applyAlignment="1" applyProtection="1">
      <alignment/>
      <protection/>
    </xf>
    <xf numFmtId="3" fontId="5" fillId="0" borderId="0" xfId="69" applyNumberFormat="1" applyAlignment="1">
      <alignment vertical="top" wrapText="1"/>
      <protection/>
    </xf>
    <xf numFmtId="0" fontId="83" fillId="0" borderId="0" xfId="0" applyFont="1" applyFill="1" applyAlignment="1" applyProtection="1">
      <alignment horizontal="left" wrapText="1"/>
      <protection/>
    </xf>
    <xf numFmtId="0" fontId="5" fillId="0" borderId="25" xfId="0" applyFont="1" applyFill="1" applyBorder="1" applyAlignment="1" applyProtection="1">
      <alignment/>
      <protection/>
    </xf>
    <xf numFmtId="0" fontId="5" fillId="0" borderId="19" xfId="0" applyFont="1" applyFill="1" applyBorder="1" applyAlignment="1" applyProtection="1">
      <alignment/>
      <protection/>
    </xf>
    <xf numFmtId="0" fontId="5" fillId="0" borderId="22" xfId="0" applyFont="1" applyFill="1" applyBorder="1" applyAlignment="1" applyProtection="1">
      <alignment/>
      <protection/>
    </xf>
    <xf numFmtId="166" fontId="88" fillId="0" borderId="23" xfId="0" applyNumberFormat="1" applyFont="1" applyFill="1" applyBorder="1" applyAlignment="1" applyProtection="1">
      <alignment horizontal="right"/>
      <protection locked="0"/>
    </xf>
    <xf numFmtId="166" fontId="88" fillId="0" borderId="11" xfId="0" applyNumberFormat="1" applyFont="1" applyFill="1" applyBorder="1" applyAlignment="1" applyProtection="1">
      <alignment horizontal="right"/>
      <protection locked="0"/>
    </xf>
    <xf numFmtId="166" fontId="2" fillId="0" borderId="13" xfId="0" applyNumberFormat="1" applyFont="1" applyFill="1" applyBorder="1" applyAlignment="1" applyProtection="1">
      <alignment horizontal="right"/>
      <protection/>
    </xf>
    <xf numFmtId="0" fontId="2" fillId="0" borderId="19" xfId="0" applyFont="1" applyBorder="1" applyAlignment="1" applyProtection="1">
      <alignment vertical="center"/>
      <protection/>
    </xf>
    <xf numFmtId="3" fontId="2" fillId="0" borderId="17" xfId="69" applyNumberFormat="1" applyFont="1" applyBorder="1" applyAlignment="1" applyProtection="1">
      <alignment vertical="center"/>
      <protection/>
    </xf>
    <xf numFmtId="166" fontId="2" fillId="0" borderId="18" xfId="69" applyNumberFormat="1" applyFont="1" applyBorder="1" applyAlignment="1" applyProtection="1">
      <alignment horizontal="right" vertical="center"/>
      <protection/>
    </xf>
    <xf numFmtId="3" fontId="5" fillId="0" borderId="0" xfId="69" applyNumberFormat="1" applyFont="1" applyAlignment="1">
      <alignment vertical="center"/>
      <protection/>
    </xf>
    <xf numFmtId="0" fontId="5" fillId="0" borderId="16" xfId="0" applyFont="1" applyBorder="1" applyAlignment="1" applyProtection="1">
      <alignment/>
      <protection/>
    </xf>
    <xf numFmtId="0" fontId="89" fillId="0" borderId="16" xfId="0" applyFont="1" applyFill="1" applyBorder="1" applyAlignment="1" applyProtection="1">
      <alignment horizontal="center"/>
      <protection/>
    </xf>
    <xf numFmtId="3" fontId="88" fillId="0" borderId="21" xfId="69" applyNumberFormat="1" applyFont="1" applyFill="1" applyBorder="1" applyAlignment="1" applyProtection="1">
      <alignment horizontal="center"/>
      <protection locked="0"/>
    </xf>
    <xf numFmtId="3" fontId="2" fillId="0" borderId="15" xfId="69" applyNumberFormat="1" applyFont="1" applyBorder="1" applyAlignment="1" applyProtection="1">
      <alignment/>
      <protection/>
    </xf>
    <xf numFmtId="3" fontId="2" fillId="0" borderId="0" xfId="69" applyNumberFormat="1" applyFont="1" applyBorder="1" applyAlignment="1" applyProtection="1">
      <alignment/>
      <protection/>
    </xf>
    <xf numFmtId="3" fontId="2" fillId="0" borderId="16" xfId="69" applyNumberFormat="1" applyFont="1" applyBorder="1" applyAlignment="1" applyProtection="1">
      <alignment/>
      <protection/>
    </xf>
    <xf numFmtId="0" fontId="12" fillId="0" borderId="17" xfId="0" applyFont="1" applyFill="1" applyBorder="1" applyAlignment="1" applyProtection="1">
      <alignment horizontal="center" wrapText="1"/>
      <protection/>
    </xf>
    <xf numFmtId="3" fontId="2" fillId="0" borderId="20" xfId="69" applyNumberFormat="1" applyFont="1" applyBorder="1" applyAlignment="1" applyProtection="1">
      <alignment vertical="center"/>
      <protection/>
    </xf>
    <xf numFmtId="0" fontId="2" fillId="0" borderId="12" xfId="0" applyFont="1" applyFill="1" applyBorder="1" applyAlignment="1" applyProtection="1">
      <alignment horizontal="center"/>
      <protection/>
    </xf>
    <xf numFmtId="0" fontId="5" fillId="0" borderId="12" xfId="0" applyFont="1" applyBorder="1" applyAlignment="1">
      <alignment/>
    </xf>
    <xf numFmtId="0" fontId="5" fillId="0" borderId="21" xfId="0" applyFont="1" applyFill="1" applyBorder="1" applyAlignment="1" applyProtection="1">
      <alignment horizontal="right"/>
      <protection/>
    </xf>
    <xf numFmtId="0" fontId="2" fillId="0" borderId="12" xfId="0" applyFont="1" applyBorder="1" applyAlignment="1">
      <alignment horizontal="center"/>
    </xf>
    <xf numFmtId="0" fontId="2" fillId="0" borderId="12" xfId="0" applyFont="1" applyBorder="1" applyAlignment="1" applyProtection="1">
      <alignment horizontal="center"/>
      <protection/>
    </xf>
    <xf numFmtId="0" fontId="2" fillId="0" borderId="12" xfId="0" applyFont="1" applyFill="1" applyBorder="1" applyAlignment="1">
      <alignment horizontal="center"/>
    </xf>
    <xf numFmtId="0" fontId="5" fillId="0" borderId="21" xfId="0" applyFont="1" applyBorder="1" applyAlignment="1" applyProtection="1">
      <alignment horizontal="right" vertical="center"/>
      <protection/>
    </xf>
    <xf numFmtId="186" fontId="2" fillId="0" borderId="11" xfId="0" applyNumberFormat="1" applyFont="1" applyFill="1" applyBorder="1" applyAlignment="1" applyProtection="1">
      <alignment horizontal="center"/>
      <protection/>
    </xf>
    <xf numFmtId="0" fontId="2" fillId="0" borderId="0" xfId="0" applyFont="1" applyFill="1" applyAlignment="1">
      <alignment/>
    </xf>
    <xf numFmtId="0" fontId="2" fillId="0" borderId="22" xfId="0" applyFont="1" applyFill="1" applyBorder="1" applyAlignment="1">
      <alignment horizontal="center"/>
    </xf>
    <xf numFmtId="0" fontId="2" fillId="0" borderId="25" xfId="0" applyFont="1" applyFill="1" applyBorder="1" applyAlignment="1" applyProtection="1">
      <alignment horizontal="right"/>
      <protection/>
    </xf>
    <xf numFmtId="7" fontId="5" fillId="0" borderId="23" xfId="0" applyNumberFormat="1" applyFont="1" applyFill="1" applyBorder="1" applyAlignment="1" applyProtection="1">
      <alignment horizontal="center"/>
      <protection/>
    </xf>
    <xf numFmtId="0" fontId="2" fillId="0" borderId="14" xfId="0" applyFont="1" applyFill="1" applyBorder="1" applyAlignment="1" applyProtection="1">
      <alignment/>
      <protection/>
    </xf>
    <xf numFmtId="0" fontId="2" fillId="0" borderId="24" xfId="0" applyFont="1" applyFill="1" applyBorder="1" applyAlignment="1" applyProtection="1">
      <alignment/>
      <protection/>
    </xf>
    <xf numFmtId="7" fontId="5" fillId="0" borderId="13" xfId="0" applyNumberFormat="1" applyFont="1" applyFill="1" applyBorder="1" applyAlignment="1" applyProtection="1">
      <alignment horizontal="center"/>
      <protection/>
    </xf>
    <xf numFmtId="0" fontId="2" fillId="0" borderId="25" xfId="0" applyFont="1" applyFill="1" applyBorder="1" applyAlignment="1" applyProtection="1">
      <alignment/>
      <protection/>
    </xf>
    <xf numFmtId="7" fontId="2" fillId="0" borderId="13" xfId="0" applyNumberFormat="1" applyFont="1" applyFill="1" applyBorder="1" applyAlignment="1" applyProtection="1">
      <alignment horizontal="center"/>
      <protection/>
    </xf>
    <xf numFmtId="7" fontId="2" fillId="0" borderId="23" xfId="0" applyNumberFormat="1" applyFont="1" applyFill="1" applyBorder="1" applyAlignment="1" applyProtection="1">
      <alignment horizontal="center"/>
      <protection/>
    </xf>
    <xf numFmtId="0" fontId="2" fillId="0" borderId="19" xfId="0" applyFont="1" applyBorder="1" applyAlignment="1" applyProtection="1">
      <alignment horizontal="center" vertical="center"/>
      <protection/>
    </xf>
    <xf numFmtId="0" fontId="2" fillId="0" borderId="17" xfId="0" applyFont="1" applyFill="1" applyBorder="1" applyAlignment="1" applyProtection="1">
      <alignment horizontal="center" vertical="center" wrapText="1"/>
      <protection/>
    </xf>
    <xf numFmtId="7" fontId="2" fillId="0" borderId="18" xfId="0" applyNumberFormat="1" applyFont="1" applyFill="1" applyBorder="1" applyAlignment="1" applyProtection="1">
      <alignment horizontal="center" vertical="center"/>
      <protection/>
    </xf>
    <xf numFmtId="0" fontId="5" fillId="0" borderId="0" xfId="0" applyFont="1" applyFill="1" applyAlignment="1" applyProtection="1">
      <alignment horizontal="center"/>
      <protection/>
    </xf>
    <xf numFmtId="3" fontId="5" fillId="0" borderId="0" xfId="0" applyNumberFormat="1" applyFont="1" applyFill="1" applyAlignment="1" applyProtection="1">
      <alignment horizontal="center"/>
      <protection/>
    </xf>
    <xf numFmtId="181" fontId="93" fillId="0" borderId="0" xfId="0" applyNumberFormat="1" applyFont="1" applyFill="1" applyBorder="1" applyAlignment="1" applyProtection="1">
      <alignment horizontal="right" wrapText="1"/>
      <protection/>
    </xf>
    <xf numFmtId="0" fontId="10" fillId="0" borderId="0" xfId="0" applyFont="1" applyFill="1" applyAlignment="1" applyProtection="1">
      <alignment horizontal="center"/>
      <protection/>
    </xf>
    <xf numFmtId="0" fontId="94" fillId="0" borderId="0" xfId="0" applyFont="1" applyFill="1" applyAlignment="1" applyProtection="1">
      <alignment horizontal="left" wrapText="1"/>
      <protection/>
    </xf>
    <xf numFmtId="3" fontId="94" fillId="0" borderId="0" xfId="0" applyNumberFormat="1" applyFont="1" applyFill="1" applyAlignment="1" applyProtection="1">
      <alignment horizontal="center" wrapText="1"/>
      <protection/>
    </xf>
    <xf numFmtId="181" fontId="94" fillId="0" borderId="0" xfId="0" applyNumberFormat="1" applyFont="1" applyFill="1" applyBorder="1" applyAlignment="1" applyProtection="1">
      <alignment horizontal="right" wrapText="1"/>
      <protection/>
    </xf>
    <xf numFmtId="164" fontId="93" fillId="0" borderId="0" xfId="0" applyNumberFormat="1" applyFont="1" applyFill="1" applyAlignment="1" applyProtection="1">
      <alignment horizontal="center" wrapText="1"/>
      <protection/>
    </xf>
    <xf numFmtId="164" fontId="94" fillId="0" borderId="0" xfId="0" applyNumberFormat="1" applyFont="1" applyFill="1" applyAlignment="1" applyProtection="1">
      <alignment horizontal="center" wrapText="1"/>
      <protection/>
    </xf>
    <xf numFmtId="0" fontId="5" fillId="0" borderId="0" xfId="0" applyFont="1" applyFill="1" applyAlignment="1" applyProtection="1">
      <alignment horizontal="right"/>
      <protection/>
    </xf>
    <xf numFmtId="7" fontId="93" fillId="0" borderId="0" xfId="0" applyNumberFormat="1" applyFont="1" applyFill="1" applyAlignment="1" applyProtection="1">
      <alignment horizontal="center" wrapText="1"/>
      <protection/>
    </xf>
    <xf numFmtId="7" fontId="94" fillId="0" borderId="0" xfId="0" applyNumberFormat="1" applyFont="1" applyFill="1" applyAlignment="1" applyProtection="1">
      <alignment horizontal="center" wrapText="1"/>
      <protection/>
    </xf>
    <xf numFmtId="0" fontId="21" fillId="0" borderId="0" xfId="0" applyFont="1" applyFill="1" applyAlignment="1" applyProtection="1">
      <alignment horizontal="right"/>
      <protection/>
    </xf>
    <xf numFmtId="5" fontId="93" fillId="0" borderId="0" xfId="0" applyNumberFormat="1" applyFont="1" applyFill="1" applyAlignment="1" applyProtection="1">
      <alignment horizontal="center" wrapText="1"/>
      <protection/>
    </xf>
    <xf numFmtId="164" fontId="90" fillId="0" borderId="0" xfId="0" applyNumberFormat="1" applyFont="1" applyFill="1" applyAlignment="1" applyProtection="1">
      <alignment horizontal="center" wrapText="1"/>
      <protection/>
    </xf>
    <xf numFmtId="0" fontId="90" fillId="0" borderId="0" xfId="0" applyFont="1" applyFill="1" applyAlignment="1" applyProtection="1">
      <alignment horizontal="left" wrapText="1"/>
      <protection/>
    </xf>
    <xf numFmtId="181" fontId="90" fillId="0" borderId="0" xfId="0" applyNumberFormat="1" applyFont="1" applyFill="1" applyBorder="1" applyAlignment="1" applyProtection="1">
      <alignment horizontal="right" wrapText="1"/>
      <protection/>
    </xf>
    <xf numFmtId="0" fontId="2" fillId="0" borderId="0" xfId="0" applyFont="1" applyFill="1" applyAlignment="1" applyProtection="1">
      <alignment horizontal="right"/>
      <protection/>
    </xf>
    <xf numFmtId="5" fontId="90" fillId="0" borderId="0" xfId="0" applyNumberFormat="1" applyFont="1" applyFill="1" applyAlignment="1" applyProtection="1">
      <alignment horizontal="center" wrapText="1"/>
      <protection/>
    </xf>
    <xf numFmtId="0" fontId="90" fillId="0" borderId="0" xfId="0" applyFont="1" applyFill="1" applyAlignment="1" applyProtection="1">
      <alignment horizontal="left"/>
      <protection/>
    </xf>
    <xf numFmtId="5" fontId="94" fillId="0" borderId="0" xfId="0" applyNumberFormat="1" applyFont="1" applyFill="1" applyAlignment="1" applyProtection="1">
      <alignment horizontal="center" wrapText="1"/>
      <protection/>
    </xf>
    <xf numFmtId="0" fontId="2" fillId="0" borderId="19" xfId="0" applyFont="1" applyFill="1" applyBorder="1" applyAlignment="1" applyProtection="1">
      <alignment horizontal="right"/>
      <protection/>
    </xf>
    <xf numFmtId="5" fontId="90" fillId="0" borderId="20" xfId="0" applyNumberFormat="1" applyFont="1" applyFill="1" applyBorder="1" applyAlignment="1" applyProtection="1">
      <alignment horizontal="center" wrapText="1"/>
      <protection/>
    </xf>
    <xf numFmtId="0" fontId="90" fillId="0" borderId="20" xfId="0" applyFont="1" applyFill="1" applyBorder="1" applyAlignment="1" applyProtection="1">
      <alignment horizontal="left"/>
      <protection/>
    </xf>
    <xf numFmtId="166" fontId="90" fillId="0" borderId="20" xfId="0" applyNumberFormat="1" applyFont="1" applyFill="1" applyBorder="1" applyAlignment="1" applyProtection="1">
      <alignment horizontal="right" wrapText="1"/>
      <protection/>
    </xf>
    <xf numFmtId="5" fontId="90" fillId="0" borderId="15" xfId="0" applyNumberFormat="1" applyFont="1" applyFill="1" applyBorder="1" applyAlignment="1" applyProtection="1">
      <alignment horizontal="center" wrapText="1"/>
      <protection/>
    </xf>
    <xf numFmtId="0" fontId="90" fillId="0" borderId="15" xfId="0" applyFont="1" applyFill="1" applyBorder="1" applyAlignment="1" applyProtection="1">
      <alignment horizontal="left"/>
      <protection/>
    </xf>
    <xf numFmtId="166" fontId="90" fillId="0" borderId="15" xfId="0" applyNumberFormat="1" applyFont="1" applyFill="1" applyBorder="1" applyAlignment="1" applyProtection="1">
      <alignment horizontal="right" wrapText="1"/>
      <protection/>
    </xf>
    <xf numFmtId="0" fontId="5" fillId="0" borderId="14" xfId="0" applyFont="1" applyFill="1" applyBorder="1" applyAlignment="1" applyProtection="1">
      <alignment vertical="top"/>
      <protection/>
    </xf>
    <xf numFmtId="164" fontId="93" fillId="0" borderId="16" xfId="0" applyNumberFormat="1" applyFont="1" applyFill="1" applyBorder="1" applyAlignment="1" applyProtection="1">
      <alignment horizontal="center" vertical="top" wrapText="1"/>
      <protection/>
    </xf>
    <xf numFmtId="0" fontId="90" fillId="0" borderId="16" xfId="0" applyFont="1" applyFill="1" applyBorder="1" applyAlignment="1" applyProtection="1">
      <alignment horizontal="left" vertical="top"/>
      <protection/>
    </xf>
    <xf numFmtId="166" fontId="90" fillId="0" borderId="16" xfId="0" applyNumberFormat="1" applyFont="1" applyFill="1" applyBorder="1" applyAlignment="1" applyProtection="1">
      <alignment horizontal="right" vertical="top" wrapText="1"/>
      <protection/>
    </xf>
    <xf numFmtId="0" fontId="5" fillId="0" borderId="16" xfId="0" applyFont="1" applyFill="1" applyBorder="1" applyAlignment="1" applyProtection="1">
      <alignment vertical="top"/>
      <protection/>
    </xf>
    <xf numFmtId="0" fontId="5" fillId="0" borderId="24" xfId="0" applyFont="1" applyFill="1" applyBorder="1" applyAlignment="1" applyProtection="1">
      <alignment vertical="top"/>
      <protection/>
    </xf>
    <xf numFmtId="0" fontId="5" fillId="0" borderId="0" xfId="0" applyFont="1" applyFill="1" applyBorder="1" applyAlignment="1" applyProtection="1">
      <alignment vertical="top"/>
      <protection/>
    </xf>
    <xf numFmtId="164" fontId="93" fillId="0" borderId="0" xfId="0" applyNumberFormat="1" applyFont="1" applyFill="1" applyBorder="1" applyAlignment="1" applyProtection="1">
      <alignment horizontal="center" vertical="top" wrapText="1"/>
      <protection/>
    </xf>
    <xf numFmtId="0" fontId="90" fillId="0" borderId="0" xfId="0" applyFont="1" applyFill="1" applyBorder="1" applyAlignment="1" applyProtection="1">
      <alignment horizontal="left" vertical="top"/>
      <protection/>
    </xf>
    <xf numFmtId="166" fontId="90" fillId="0" borderId="0" xfId="0" applyNumberFormat="1" applyFont="1" applyFill="1" applyBorder="1" applyAlignment="1" applyProtection="1">
      <alignment horizontal="right" vertical="top" wrapText="1"/>
      <protection/>
    </xf>
    <xf numFmtId="166" fontId="93" fillId="0" borderId="0" xfId="0" applyNumberFormat="1" applyFont="1" applyFill="1" applyBorder="1" applyAlignment="1" applyProtection="1">
      <alignment horizontal="right" wrapText="1"/>
      <protection/>
    </xf>
    <xf numFmtId="166" fontId="21" fillId="0" borderId="0" xfId="0" applyNumberFormat="1" applyFont="1" applyFill="1" applyAlignment="1" applyProtection="1">
      <alignment horizontal="center"/>
      <protection/>
    </xf>
    <xf numFmtId="181" fontId="93" fillId="0" borderId="0" xfId="0" applyNumberFormat="1" applyFont="1" applyFill="1" applyAlignment="1" applyProtection="1">
      <alignment horizontal="center" wrapText="1"/>
      <protection/>
    </xf>
    <xf numFmtId="0" fontId="2" fillId="0" borderId="0" xfId="0" applyFont="1" applyBorder="1" applyAlignment="1" applyProtection="1">
      <alignment horizontal="right" vertical="center"/>
      <protection/>
    </xf>
    <xf numFmtId="172" fontId="94" fillId="0" borderId="0" xfId="0" applyNumberFormat="1" applyFont="1" applyFill="1" applyAlignment="1" applyProtection="1">
      <alignment horizontal="center" wrapText="1"/>
      <protection/>
    </xf>
    <xf numFmtId="3" fontId="2" fillId="0" borderId="0" xfId="69" applyNumberFormat="1" applyFont="1" applyFill="1" applyAlignment="1" applyProtection="1">
      <alignment/>
      <protection/>
    </xf>
    <xf numFmtId="3" fontId="5" fillId="0" borderId="0" xfId="69" applyNumberFormat="1" applyFill="1" applyAlignment="1" applyProtection="1">
      <alignment/>
      <protection/>
    </xf>
    <xf numFmtId="3" fontId="5" fillId="0" borderId="0" xfId="69" applyNumberFormat="1" applyFill="1" applyAlignment="1">
      <alignment/>
      <protection/>
    </xf>
    <xf numFmtId="0" fontId="5" fillId="0" borderId="0" xfId="0" applyFont="1" applyFill="1" applyBorder="1" applyAlignment="1" applyProtection="1">
      <alignment horizontal="left"/>
      <protection/>
    </xf>
    <xf numFmtId="185" fontId="15" fillId="0" borderId="0" xfId="47" applyNumberFormat="1" applyFill="1">
      <alignment/>
      <protection locked="0"/>
    </xf>
    <xf numFmtId="40" fontId="15" fillId="0" borderId="0" xfId="53" applyFill="1">
      <alignment/>
      <protection locked="0"/>
    </xf>
    <xf numFmtId="3" fontId="5" fillId="0" borderId="0" xfId="69" applyNumberFormat="1" applyFont="1" applyFill="1" applyAlignment="1" applyProtection="1">
      <alignment/>
      <protection/>
    </xf>
    <xf numFmtId="166" fontId="15" fillId="0" borderId="0" xfId="47" applyNumberFormat="1" applyFill="1">
      <alignment/>
      <protection locked="0"/>
    </xf>
    <xf numFmtId="3" fontId="15" fillId="0" borderId="0" xfId="47" applyNumberFormat="1" applyFill="1">
      <alignment/>
      <protection locked="0"/>
    </xf>
    <xf numFmtId="181" fontId="15" fillId="0" borderId="0" xfId="47" applyNumberFormat="1" applyFill="1">
      <alignment/>
      <protection locked="0"/>
    </xf>
    <xf numFmtId="4" fontId="15" fillId="0" borderId="0" xfId="47" applyNumberFormat="1" applyFill="1">
      <alignment/>
      <protection locked="0"/>
    </xf>
    <xf numFmtId="2" fontId="88" fillId="0" borderId="0" xfId="0" applyNumberFormat="1" applyFont="1" applyFill="1" applyBorder="1" applyAlignment="1" applyProtection="1">
      <alignment horizontal="right"/>
      <protection locked="0"/>
    </xf>
    <xf numFmtId="0" fontId="5" fillId="0" borderId="21" xfId="0" applyFont="1" applyBorder="1" applyAlignment="1">
      <alignment/>
    </xf>
    <xf numFmtId="3" fontId="10" fillId="0" borderId="0" xfId="69" applyNumberFormat="1" applyFont="1" applyAlignment="1">
      <alignment horizontal="center"/>
      <protection/>
    </xf>
    <xf numFmtId="0" fontId="83" fillId="0" borderId="0" xfId="0" applyFont="1" applyFill="1" applyAlignment="1" applyProtection="1">
      <alignment horizontal="left" wrapText="1"/>
      <protection/>
    </xf>
    <xf numFmtId="3" fontId="3" fillId="0" borderId="0" xfId="0" applyNumberFormat="1" applyFont="1" applyAlignment="1">
      <alignment/>
    </xf>
    <xf numFmtId="0" fontId="99" fillId="0" borderId="0" xfId="0" applyFont="1" applyFill="1" applyAlignment="1" applyProtection="1">
      <alignment horizontal="center" vertical="center"/>
      <protection/>
    </xf>
    <xf numFmtId="3" fontId="5" fillId="0" borderId="0" xfId="0" applyNumberFormat="1" applyFont="1" applyAlignment="1" applyProtection="1">
      <alignment horizontal="right"/>
      <protection/>
    </xf>
    <xf numFmtId="7" fontId="93" fillId="0" borderId="0" xfId="0" applyNumberFormat="1" applyFont="1" applyFill="1" applyAlignment="1" applyProtection="1">
      <alignment horizontal="left" wrapText="1"/>
      <protection/>
    </xf>
    <xf numFmtId="3" fontId="21" fillId="0" borderId="0" xfId="70" applyNumberFormat="1" applyFont="1" applyAlignment="1" applyProtection="1">
      <alignment/>
      <protection/>
    </xf>
    <xf numFmtId="3" fontId="2" fillId="0" borderId="0" xfId="70" applyNumberFormat="1" applyFont="1" applyAlignment="1" applyProtection="1">
      <alignment/>
      <protection/>
    </xf>
    <xf numFmtId="0" fontId="2" fillId="0" borderId="0" xfId="0" applyFont="1" applyAlignment="1" applyProtection="1">
      <alignment/>
      <protection/>
    </xf>
    <xf numFmtId="0" fontId="5" fillId="0" borderId="0" xfId="0" applyFont="1" applyFill="1" applyBorder="1" applyAlignment="1">
      <alignment horizontal="right"/>
    </xf>
    <xf numFmtId="0" fontId="5" fillId="0" borderId="0" xfId="0" applyFont="1" applyAlignment="1" applyProtection="1">
      <alignment horizontal="right"/>
      <protection/>
    </xf>
    <xf numFmtId="7" fontId="94" fillId="0" borderId="0" xfId="0" applyNumberFormat="1" applyFont="1" applyFill="1" applyAlignment="1" applyProtection="1">
      <alignment horizontal="left" wrapText="1"/>
      <protection/>
    </xf>
    <xf numFmtId="4" fontId="94" fillId="0" borderId="0" xfId="0" applyNumberFormat="1" applyFont="1" applyFill="1" applyBorder="1" applyAlignment="1" applyProtection="1">
      <alignment horizontal="right" wrapText="1"/>
      <protection/>
    </xf>
    <xf numFmtId="3" fontId="100" fillId="0" borderId="0" xfId="69" applyNumberFormat="1" applyFont="1" applyFill="1" applyAlignment="1">
      <alignment/>
      <protection/>
    </xf>
    <xf numFmtId="3" fontId="5" fillId="0" borderId="0" xfId="69" applyNumberFormat="1" applyFont="1" applyFill="1" applyAlignment="1">
      <alignment vertical="top"/>
      <protection/>
    </xf>
    <xf numFmtId="0" fontId="10" fillId="0" borderId="25" xfId="0" applyFont="1" applyFill="1" applyBorder="1" applyAlignment="1" applyProtection="1">
      <alignment horizontal="center"/>
      <protection/>
    </xf>
    <xf numFmtId="181" fontId="5" fillId="0" borderId="0" xfId="69" applyNumberFormat="1" applyFont="1" applyAlignment="1">
      <alignment/>
      <protection/>
    </xf>
    <xf numFmtId="3" fontId="88" fillId="0" borderId="0" xfId="69" applyNumberFormat="1" applyFont="1" applyFill="1" applyAlignment="1" applyProtection="1">
      <alignment/>
      <protection locked="0"/>
    </xf>
    <xf numFmtId="181" fontId="15" fillId="0" borderId="0" xfId="47" applyNumberFormat="1" applyFill="1" applyProtection="1">
      <alignment/>
      <protection locked="0"/>
    </xf>
    <xf numFmtId="166" fontId="5" fillId="0" borderId="0" xfId="71" applyAlignment="1">
      <alignment vertical="top" wrapText="1"/>
      <protection/>
    </xf>
    <xf numFmtId="0" fontId="83" fillId="0" borderId="0" xfId="0" applyFont="1" applyFill="1" applyAlignment="1" applyProtection="1">
      <alignment horizontal="left" wrapText="1"/>
      <protection/>
    </xf>
    <xf numFmtId="166" fontId="101" fillId="0" borderId="0" xfId="0" applyNumberFormat="1" applyFont="1" applyAlignment="1">
      <alignment/>
    </xf>
    <xf numFmtId="166" fontId="0" fillId="0" borderId="0" xfId="0" applyNumberFormat="1" applyAlignment="1">
      <alignment/>
    </xf>
    <xf numFmtId="0" fontId="0" fillId="0" borderId="0" xfId="0" applyNumberFormat="1" applyAlignment="1">
      <alignment/>
    </xf>
    <xf numFmtId="0" fontId="65" fillId="0" borderId="0" xfId="0" applyNumberFormat="1" applyFont="1" applyAlignment="1">
      <alignment horizontal="right"/>
    </xf>
    <xf numFmtId="0" fontId="9" fillId="0" borderId="0" xfId="0" applyFont="1" applyAlignment="1">
      <alignment vertical="top"/>
    </xf>
    <xf numFmtId="166" fontId="3" fillId="0" borderId="0" xfId="71" applyFont="1" applyAlignment="1">
      <alignment vertical="top" wrapText="1"/>
      <protection/>
    </xf>
    <xf numFmtId="166" fontId="3" fillId="0" borderId="0" xfId="71" applyFont="1" applyAlignment="1">
      <alignment vertical="top"/>
      <protection/>
    </xf>
    <xf numFmtId="166" fontId="3" fillId="0" borderId="0" xfId="71" applyFont="1" applyAlignment="1">
      <alignment vertical="center"/>
      <protection/>
    </xf>
    <xf numFmtId="3" fontId="3" fillId="0" borderId="0" xfId="0" applyNumberFormat="1" applyFont="1" applyAlignment="1">
      <alignment vertical="top"/>
    </xf>
    <xf numFmtId="0" fontId="102" fillId="0" borderId="0" xfId="0" applyFont="1" applyBorder="1" applyAlignment="1" applyProtection="1">
      <alignment horizontal="left" wrapText="1"/>
      <protection/>
    </xf>
    <xf numFmtId="166" fontId="87" fillId="0" borderId="0" xfId="63" applyNumberFormat="1" applyFont="1" applyFill="1" applyAlignment="1" applyProtection="1">
      <alignment vertical="top"/>
      <protection/>
    </xf>
    <xf numFmtId="185" fontId="2" fillId="0" borderId="11" xfId="0" applyNumberFormat="1" applyFont="1" applyFill="1" applyBorder="1" applyAlignment="1" applyProtection="1">
      <alignment horizontal="center"/>
      <protection locked="0"/>
    </xf>
    <xf numFmtId="0" fontId="2" fillId="0" borderId="14" xfId="0" applyFont="1" applyFill="1" applyBorder="1" applyAlignment="1" applyProtection="1">
      <alignment horizontal="center"/>
      <protection/>
    </xf>
    <xf numFmtId="0" fontId="90" fillId="0" borderId="0" xfId="0" applyFont="1" applyFill="1" applyAlignment="1" applyProtection="1">
      <alignment horizontal="right"/>
      <protection/>
    </xf>
    <xf numFmtId="7" fontId="90" fillId="0" borderId="0" xfId="0" applyNumberFormat="1" applyFont="1" applyFill="1" applyAlignment="1" applyProtection="1">
      <alignment horizontal="right" wrapText="1"/>
      <protection/>
    </xf>
    <xf numFmtId="0" fontId="95" fillId="0" borderId="0" xfId="0" applyFont="1" applyFill="1" applyAlignment="1" applyProtection="1">
      <alignment horizontal="left" wrapText="1"/>
      <protection/>
    </xf>
    <xf numFmtId="0" fontId="7" fillId="0" borderId="0" xfId="0" applyFont="1" applyFill="1" applyAlignment="1" applyProtection="1">
      <alignment/>
      <protection/>
    </xf>
    <xf numFmtId="181" fontId="2" fillId="0" borderId="0" xfId="0" applyNumberFormat="1" applyFont="1" applyFill="1" applyAlignment="1" applyProtection="1">
      <alignment horizontal="right"/>
      <protection/>
    </xf>
    <xf numFmtId="3" fontId="90" fillId="0" borderId="0" xfId="0" applyNumberFormat="1" applyFont="1" applyFill="1" applyAlignment="1" applyProtection="1">
      <alignment horizontal="right" wrapText="1"/>
      <protection/>
    </xf>
    <xf numFmtId="3" fontId="2" fillId="0" borderId="0" xfId="0" applyNumberFormat="1" applyFont="1" applyAlignment="1" applyProtection="1">
      <alignment horizontal="right"/>
      <protection/>
    </xf>
    <xf numFmtId="0" fontId="90" fillId="0" borderId="0" xfId="0" applyFont="1" applyFill="1" applyAlignment="1" applyProtection="1">
      <alignment/>
      <protection/>
    </xf>
    <xf numFmtId="9" fontId="90" fillId="0" borderId="0" xfId="0" applyNumberFormat="1" applyFont="1" applyFill="1" applyAlignment="1" applyProtection="1">
      <alignment horizontal="left"/>
      <protection/>
    </xf>
    <xf numFmtId="9" fontId="90" fillId="0" borderId="0" xfId="0" applyNumberFormat="1" applyFont="1" applyFill="1" applyAlignment="1" applyProtection="1">
      <alignment horizontal="left" wrapText="1"/>
      <protection/>
    </xf>
    <xf numFmtId="9" fontId="2" fillId="0" borderId="0" xfId="0" applyNumberFormat="1" applyFont="1" applyFill="1" applyAlignment="1" applyProtection="1">
      <alignment/>
      <protection/>
    </xf>
    <xf numFmtId="9" fontId="90" fillId="0" borderId="0" xfId="0" applyNumberFormat="1" applyFont="1" applyFill="1" applyAlignment="1" applyProtection="1">
      <alignment horizontal="right" wrapText="1"/>
      <protection/>
    </xf>
    <xf numFmtId="9" fontId="90" fillId="0" borderId="0" xfId="0" applyNumberFormat="1" applyFont="1" applyFill="1" applyAlignment="1" applyProtection="1">
      <alignment horizontal="right"/>
      <protection/>
    </xf>
    <xf numFmtId="9" fontId="2" fillId="0" borderId="0" xfId="0" applyNumberFormat="1" applyFont="1" applyFill="1" applyAlignment="1" applyProtection="1">
      <alignment horizontal="right"/>
      <protection/>
    </xf>
    <xf numFmtId="9" fontId="102" fillId="0" borderId="0" xfId="0" applyNumberFormat="1" applyFont="1" applyFill="1" applyAlignment="1" applyProtection="1">
      <alignment horizontal="right"/>
      <protection/>
    </xf>
    <xf numFmtId="9" fontId="102" fillId="0" borderId="0" xfId="0" applyNumberFormat="1" applyFont="1" applyFill="1" applyAlignment="1" applyProtection="1">
      <alignment horizontal="center"/>
      <protection/>
    </xf>
    <xf numFmtId="9" fontId="102" fillId="0" borderId="0" xfId="0" applyNumberFormat="1" applyFont="1" applyFill="1" applyAlignment="1" applyProtection="1">
      <alignment/>
      <protection/>
    </xf>
    <xf numFmtId="181" fontId="10" fillId="0" borderId="0" xfId="0" applyNumberFormat="1" applyFont="1" applyFill="1" applyAlignment="1" applyProtection="1">
      <alignment horizontal="right"/>
      <protection/>
    </xf>
    <xf numFmtId="9" fontId="102" fillId="0" borderId="0" xfId="0" applyNumberFormat="1" applyFont="1" applyFill="1" applyAlignment="1" applyProtection="1">
      <alignment horizontal="left"/>
      <protection/>
    </xf>
    <xf numFmtId="6" fontId="93" fillId="0" borderId="0" xfId="0" applyNumberFormat="1" applyFont="1" applyFill="1" applyAlignment="1" applyProtection="1">
      <alignment horizontal="right" wrapText="1"/>
      <protection/>
    </xf>
    <xf numFmtId="0" fontId="95" fillId="0" borderId="0" xfId="0" applyFont="1" applyFill="1" applyBorder="1" applyAlignment="1" applyProtection="1">
      <alignment horizontal="left" vertical="top"/>
      <protection/>
    </xf>
    <xf numFmtId="6" fontId="90" fillId="0" borderId="0" xfId="0" applyNumberFormat="1" applyFont="1" applyFill="1" applyAlignment="1" applyProtection="1">
      <alignment horizontal="right" wrapText="1"/>
      <protection/>
    </xf>
    <xf numFmtId="188" fontId="90" fillId="0" borderId="0" xfId="0" applyNumberFormat="1" applyFont="1" applyFill="1" applyAlignment="1" applyProtection="1">
      <alignment horizontal="right" wrapText="1"/>
      <protection/>
    </xf>
    <xf numFmtId="0" fontId="7" fillId="0" borderId="0" xfId="0" applyFont="1" applyFill="1" applyBorder="1" applyAlignment="1" applyProtection="1">
      <alignment horizontal="left"/>
      <protection/>
    </xf>
    <xf numFmtId="0" fontId="95" fillId="0" borderId="0" xfId="0" applyFont="1" applyFill="1" applyAlignment="1" applyProtection="1">
      <alignment horizontal="left"/>
      <protection/>
    </xf>
    <xf numFmtId="7" fontId="103" fillId="0" borderId="0" xfId="0" applyNumberFormat="1" applyFont="1" applyFill="1" applyAlignment="1" applyProtection="1">
      <alignment horizontal="right" wrapText="1"/>
      <protection/>
    </xf>
    <xf numFmtId="0" fontId="88" fillId="38" borderId="26" xfId="0" applyFont="1" applyFill="1" applyBorder="1" applyAlignment="1" applyProtection="1">
      <alignment/>
      <protection locked="0"/>
    </xf>
    <xf numFmtId="0" fontId="88" fillId="38" borderId="26" xfId="0" applyFont="1" applyFill="1" applyBorder="1" applyAlignment="1" applyProtection="1">
      <alignment horizontal="center"/>
      <protection locked="0"/>
    </xf>
    <xf numFmtId="3" fontId="5" fillId="0" borderId="0" xfId="70" applyNumberFormat="1" applyFont="1" applyAlignment="1" applyProtection="1">
      <alignment/>
      <protection/>
    </xf>
    <xf numFmtId="3" fontId="5" fillId="0" borderId="0" xfId="70" applyNumberFormat="1" applyAlignment="1" applyProtection="1">
      <alignment/>
      <protection/>
    </xf>
    <xf numFmtId="3" fontId="5" fillId="0" borderId="0" xfId="70" applyNumberFormat="1" applyAlignment="1">
      <alignment/>
      <protection/>
    </xf>
    <xf numFmtId="40" fontId="15" fillId="0" borderId="0" xfId="53">
      <alignment/>
      <protection locked="0"/>
    </xf>
    <xf numFmtId="175" fontId="15" fillId="0" borderId="0" xfId="70" applyNumberFormat="1" applyFont="1" applyAlignment="1" applyProtection="1">
      <alignment/>
      <protection/>
    </xf>
    <xf numFmtId="0" fontId="83" fillId="0" borderId="0" xfId="0" applyFont="1" applyFill="1" applyAlignment="1" applyProtection="1">
      <alignment horizontal="left" wrapText="1"/>
      <protection/>
    </xf>
    <xf numFmtId="166" fontId="88" fillId="0" borderId="12" xfId="0" applyNumberFormat="1" applyFont="1" applyFill="1" applyBorder="1" applyAlignment="1" applyProtection="1">
      <alignment horizontal="center"/>
      <protection locked="0"/>
    </xf>
    <xf numFmtId="166" fontId="88" fillId="0" borderId="11" xfId="0" applyNumberFormat="1" applyFont="1" applyFill="1" applyBorder="1" applyAlignment="1" applyProtection="1">
      <alignment horizontal="center"/>
      <protection locked="0"/>
    </xf>
    <xf numFmtId="190" fontId="15" fillId="0" borderId="0" xfId="53" applyNumberFormat="1" applyFill="1">
      <alignment/>
      <protection locked="0"/>
    </xf>
    <xf numFmtId="187" fontId="15" fillId="0" borderId="0" xfId="53" applyNumberFormat="1" applyFill="1">
      <alignment/>
      <protection locked="0"/>
    </xf>
    <xf numFmtId="3" fontId="3" fillId="0" borderId="0" xfId="70" applyNumberFormat="1" applyFont="1" applyAlignment="1">
      <alignment/>
      <protection/>
    </xf>
    <xf numFmtId="166" fontId="0" fillId="0" borderId="0" xfId="0" applyNumberFormat="1" applyFill="1" applyAlignment="1">
      <alignment/>
    </xf>
    <xf numFmtId="186" fontId="0" fillId="0" borderId="0" xfId="0" applyNumberFormat="1" applyFill="1" applyAlignment="1">
      <alignment vertical="top"/>
    </xf>
    <xf numFmtId="186" fontId="88" fillId="0" borderId="12" xfId="0" applyNumberFormat="1" applyFont="1" applyFill="1" applyBorder="1" applyAlignment="1" applyProtection="1">
      <alignment horizontal="center"/>
      <protection locked="0"/>
    </xf>
    <xf numFmtId="186" fontId="88" fillId="0" borderId="11" xfId="0" applyNumberFormat="1" applyFont="1" applyFill="1" applyBorder="1" applyAlignment="1" applyProtection="1">
      <alignment horizontal="center"/>
      <protection locked="0"/>
    </xf>
    <xf numFmtId="186" fontId="88" fillId="0" borderId="12" xfId="0" applyNumberFormat="1" applyFont="1" applyBorder="1" applyAlignment="1" applyProtection="1">
      <alignment horizontal="center"/>
      <protection locked="0"/>
    </xf>
    <xf numFmtId="0" fontId="102" fillId="0" borderId="0" xfId="0" applyFont="1" applyBorder="1" applyAlignment="1" applyProtection="1">
      <alignment horizontal="left"/>
      <protection/>
    </xf>
    <xf numFmtId="0" fontId="0" fillId="0" borderId="16" xfId="0" applyBorder="1" applyAlignment="1">
      <alignment/>
    </xf>
    <xf numFmtId="0" fontId="102" fillId="0" borderId="16" xfId="0" applyFont="1" applyBorder="1" applyAlignment="1" applyProtection="1">
      <alignment horizontal="right"/>
      <protection/>
    </xf>
    <xf numFmtId="0" fontId="90" fillId="0" borderId="16" xfId="0" applyFont="1" applyBorder="1" applyAlignment="1" applyProtection="1">
      <alignment horizontal="right"/>
      <protection/>
    </xf>
    <xf numFmtId="1" fontId="90" fillId="0" borderId="16" xfId="0" applyNumberFormat="1" applyFont="1" applyBorder="1" applyAlignment="1" applyProtection="1">
      <alignment horizontal="left"/>
      <protection/>
    </xf>
    <xf numFmtId="1" fontId="0" fillId="0" borderId="0" xfId="0" applyNumberFormat="1" applyAlignment="1">
      <alignment/>
    </xf>
    <xf numFmtId="186" fontId="0" fillId="0" borderId="0" xfId="0" applyNumberFormat="1" applyAlignment="1">
      <alignment/>
    </xf>
    <xf numFmtId="0" fontId="90" fillId="0" borderId="15" xfId="0" applyFont="1" applyBorder="1" applyAlignment="1" applyProtection="1">
      <alignment horizontal="left" vertical="center"/>
      <protection/>
    </xf>
    <xf numFmtId="0" fontId="0" fillId="0" borderId="15" xfId="0" applyBorder="1" applyAlignment="1" applyProtection="1">
      <alignment/>
      <protection/>
    </xf>
    <xf numFmtId="0" fontId="90" fillId="0" borderId="0" xfId="0" applyNumberFormat="1" applyFont="1" applyFill="1" applyAlignment="1" applyProtection="1">
      <alignment horizontal="right"/>
      <protection/>
    </xf>
    <xf numFmtId="1" fontId="90" fillId="0" borderId="16" xfId="0" applyNumberFormat="1" applyFont="1" applyBorder="1" applyAlignment="1" applyProtection="1">
      <alignment horizontal="right"/>
      <protection/>
    </xf>
    <xf numFmtId="166" fontId="101" fillId="0" borderId="0" xfId="0" applyNumberFormat="1" applyFont="1" applyFill="1" applyAlignment="1">
      <alignment/>
    </xf>
    <xf numFmtId="0" fontId="9" fillId="0" borderId="0" xfId="0" applyFont="1" applyFill="1" applyAlignment="1">
      <alignment vertical="top"/>
    </xf>
    <xf numFmtId="166" fontId="7" fillId="0" borderId="0" xfId="71" applyFont="1" applyAlignment="1">
      <alignment horizontal="left" vertical="top" wrapText="1"/>
      <protection/>
    </xf>
    <xf numFmtId="166" fontId="20" fillId="0" borderId="0" xfId="71" applyFont="1" applyAlignment="1">
      <alignment horizontal="center" vertical="top"/>
      <protection/>
    </xf>
    <xf numFmtId="166" fontId="3" fillId="0" borderId="0" xfId="71" applyFont="1" applyAlignment="1">
      <alignment horizontal="left" vertical="top" wrapText="1"/>
      <protection/>
    </xf>
    <xf numFmtId="166" fontId="18" fillId="0" borderId="0" xfId="71" applyFont="1" applyAlignment="1">
      <alignment horizontal="center" wrapText="1"/>
      <protection/>
    </xf>
    <xf numFmtId="166" fontId="19" fillId="0" borderId="0" xfId="71" applyFont="1" applyAlignment="1">
      <alignment horizontal="center" vertical="center" wrapText="1"/>
      <protection/>
    </xf>
    <xf numFmtId="3" fontId="99" fillId="37" borderId="0" xfId="69" applyNumberFormat="1" applyFont="1" applyFill="1" applyAlignment="1" applyProtection="1">
      <alignment horizontal="center"/>
      <protection/>
    </xf>
    <xf numFmtId="3" fontId="92" fillId="37" borderId="0" xfId="69" applyNumberFormat="1" applyFont="1" applyFill="1" applyAlignment="1" applyProtection="1">
      <alignment/>
      <protection/>
    </xf>
    <xf numFmtId="3" fontId="5" fillId="0" borderId="0" xfId="70" applyNumberFormat="1" applyFont="1" applyAlignment="1">
      <alignment horizontal="left" wrapText="1"/>
      <protection/>
    </xf>
    <xf numFmtId="3" fontId="12" fillId="0" borderId="0" xfId="69" applyNumberFormat="1" applyFont="1" applyAlignment="1">
      <alignment horizontal="left" vertical="top" wrapText="1"/>
      <protection/>
    </xf>
    <xf numFmtId="3" fontId="5" fillId="0" borderId="0" xfId="69" applyNumberFormat="1" applyFont="1" applyFill="1" applyAlignment="1">
      <alignment horizontal="left" vertical="top" wrapText="1"/>
      <protection/>
    </xf>
    <xf numFmtId="3" fontId="5" fillId="0" borderId="0" xfId="69" applyNumberFormat="1" applyFont="1" applyAlignment="1">
      <alignment horizontal="left" wrapText="1"/>
      <protection/>
    </xf>
    <xf numFmtId="3" fontId="97" fillId="37" borderId="19" xfId="69" applyNumberFormat="1" applyFont="1" applyFill="1" applyBorder="1" applyAlignment="1" applyProtection="1">
      <alignment horizontal="center" vertical="center"/>
      <protection/>
    </xf>
    <xf numFmtId="3" fontId="97" fillId="37" borderId="20" xfId="69" applyNumberFormat="1" applyFont="1" applyFill="1" applyBorder="1" applyAlignment="1" applyProtection="1">
      <alignment horizontal="center" vertical="center"/>
      <protection/>
    </xf>
    <xf numFmtId="3" fontId="97" fillId="37" borderId="17" xfId="69" applyNumberFormat="1" applyFont="1" applyFill="1" applyBorder="1" applyAlignment="1" applyProtection="1">
      <alignment horizontal="center" vertical="center"/>
      <protection/>
    </xf>
    <xf numFmtId="174" fontId="99" fillId="37" borderId="0" xfId="69" applyNumberFormat="1" applyFont="1" applyFill="1" applyAlignment="1" applyProtection="1">
      <alignment horizontal="center"/>
      <protection/>
    </xf>
    <xf numFmtId="0" fontId="97" fillId="37" borderId="22" xfId="0" applyFont="1" applyFill="1" applyBorder="1" applyAlignment="1" applyProtection="1">
      <alignment horizontal="center" vertical="center"/>
      <protection/>
    </xf>
    <xf numFmtId="0" fontId="97" fillId="37" borderId="15" xfId="0" applyFont="1" applyFill="1" applyBorder="1" applyAlignment="1" applyProtection="1">
      <alignment horizontal="center" vertical="center"/>
      <protection/>
    </xf>
    <xf numFmtId="0" fontId="97" fillId="37" borderId="25" xfId="0" applyFont="1" applyFill="1" applyBorder="1" applyAlignment="1" applyProtection="1">
      <alignment horizontal="center" vertical="center"/>
      <protection/>
    </xf>
    <xf numFmtId="0" fontId="97" fillId="37" borderId="20" xfId="0" applyFont="1" applyFill="1" applyBorder="1" applyAlignment="1" applyProtection="1">
      <alignment horizontal="center" vertical="center"/>
      <protection/>
    </xf>
    <xf numFmtId="0" fontId="97" fillId="37" borderId="17" xfId="0" applyFont="1" applyFill="1" applyBorder="1" applyAlignment="1" applyProtection="1">
      <alignment horizontal="center" vertical="center"/>
      <protection/>
    </xf>
    <xf numFmtId="166" fontId="5" fillId="0" borderId="0" xfId="71" applyFont="1" applyAlignment="1">
      <alignment vertical="top" wrapText="1"/>
      <protection/>
    </xf>
    <xf numFmtId="0" fontId="0" fillId="0" borderId="0" xfId="0" applyFill="1" applyAlignment="1">
      <alignment vertical="top" wrapText="1"/>
    </xf>
    <xf numFmtId="166" fontId="5" fillId="0" borderId="0" xfId="71" applyAlignment="1">
      <alignment vertical="top" wrapText="1"/>
      <protection/>
    </xf>
    <xf numFmtId="166" fontId="27" fillId="0" borderId="0" xfId="71" applyFont="1" applyFill="1" applyAlignment="1">
      <alignment horizontal="center" vertical="top" wrapText="1"/>
      <protection/>
    </xf>
    <xf numFmtId="0" fontId="13" fillId="0" borderId="0" xfId="0" applyFont="1" applyFill="1" applyAlignment="1" applyProtection="1">
      <alignment horizontal="left" wrapText="1"/>
      <protection/>
    </xf>
    <xf numFmtId="0" fontId="83" fillId="0" borderId="0" xfId="0" applyFont="1" applyFill="1" applyAlignment="1" applyProtection="1">
      <alignment horizontal="left" wrapText="1"/>
      <protection/>
    </xf>
    <xf numFmtId="166" fontId="6" fillId="0" borderId="0" xfId="71" applyFont="1" applyAlignment="1" applyProtection="1">
      <alignment horizontal="left" vertical="top" wrapText="1"/>
      <protection/>
    </xf>
    <xf numFmtId="0" fontId="97" fillId="37" borderId="12" xfId="0" applyFont="1" applyFill="1" applyBorder="1" applyAlignment="1" applyProtection="1">
      <alignment horizontal="center" vertical="center"/>
      <protection/>
    </xf>
    <xf numFmtId="0" fontId="97" fillId="37" borderId="0" xfId="0" applyFont="1" applyFill="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99" fillId="37" borderId="0" xfId="0" applyFont="1" applyFill="1" applyAlignment="1" applyProtection="1">
      <alignment horizontal="center" vertical="center"/>
      <protection/>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 ($1,234) L Black" xfId="44"/>
    <cellStyle name="Curr ($1,234) U Blue" xfId="45"/>
    <cellStyle name="Curr ($1,234.00) L Black" xfId="46"/>
    <cellStyle name="Curr ($1,234.00) U Blue" xfId="47"/>
    <cellStyle name="Curr (1,234) L Black" xfId="48"/>
    <cellStyle name="Curr (1,234) U Blue" xfId="49"/>
    <cellStyle name="Curr (1,234.0) L Black" xfId="50"/>
    <cellStyle name="Curr (1,234.0) U Blue" xfId="51"/>
    <cellStyle name="Curr (1,234.00) L Black" xfId="52"/>
    <cellStyle name="Curr (1,234.00) U Blue" xfId="53"/>
    <cellStyle name="Currency" xfId="54"/>
    <cellStyle name="Currency [0]" xfId="55"/>
    <cellStyle name="Currency 2" xfId="56"/>
    <cellStyle name="Explanatory Text"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 2" xfId="67"/>
    <cellStyle name="Normal 2 2" xfId="68"/>
    <cellStyle name="Normal 3" xfId="69"/>
    <cellStyle name="Normal 3 2" xfId="70"/>
    <cellStyle name="Normal_Farrow-Wean 500" xfId="71"/>
    <cellStyle name="Note" xfId="72"/>
    <cellStyle name="Num (1,234) L Black" xfId="73"/>
    <cellStyle name="Num (1,234) U Blue" xfId="74"/>
    <cellStyle name="Num (1,234.0) L Black" xfId="75"/>
    <cellStyle name="Num (1,234.0) U Blue" xfId="76"/>
    <cellStyle name="Num (1,234.10) L Black" xfId="77"/>
    <cellStyle name="Num (1,234.10) U Blue" xfId="78"/>
    <cellStyle name="Output" xfId="79"/>
    <cellStyle name="Percent" xfId="80"/>
    <cellStyle name="Percent 00.00% L Black" xfId="81"/>
    <cellStyle name="Percent 00.00% U Blue" xfId="82"/>
    <cellStyle name="Standard_Anpassen der Amortisation" xfId="83"/>
    <cellStyle name="Title" xfId="84"/>
    <cellStyle name="Total" xfId="85"/>
    <cellStyle name="Währung [0]_Compiling Utility Macros" xfId="86"/>
    <cellStyle name="Währung_Compiling Utility Macros" xfId="87"/>
    <cellStyle name="Warning Text"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gov.mb.ca/agriculture/business-and-economics/financial-management/machinery-costs.html" TargetMode="External" /><Relationship Id="rId3" Type="http://schemas.openxmlformats.org/officeDocument/2006/relationships/hyperlink" Target="http://www.gov.mb.ca/agriculture/business-and-economics/financial-management/cost-of-production.html" TargetMode="External" /><Relationship Id="rId4" Type="http://schemas.openxmlformats.org/officeDocument/2006/relationships/hyperlink" Target="http://www.gov.mb.ca/agriculture/contact/index.html"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gov.mb.ca/agriculture/business-and-economics/farm-business-management-contacts.html" TargetMode="External" /><Relationship Id="rId3" Type="http://schemas.openxmlformats.org/officeDocument/2006/relationships/hyperlink" Target="http://www.gov.mb.ca/agriculture/contact/index.html"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gov.mb.ca/agriculture/business-and-economics/farm-business-management-contacts.html" TargetMode="External" /><Relationship Id="rId3" Type="http://schemas.openxmlformats.org/officeDocument/2006/relationships/hyperlink" Target="http://www.gov.mb.ca/agriculture/contact/index.html"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gov.mb.ca/agriculture/business-and-economics/farm-business-management-contacts.html" TargetMode="External" /><Relationship Id="rId3" Type="http://schemas.openxmlformats.org/officeDocument/2006/relationships/hyperlink" Target="http://www.gov.mb.ca/agriculture/contact/index.html"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gov.mb.ca/agriculture/business-and-economics/farm-business-management-contacts.html" TargetMode="External" /><Relationship Id="rId3" Type="http://schemas.openxmlformats.org/officeDocument/2006/relationships/hyperlink" Target="http://www.gov.mb.ca/agriculture/contact/index.html"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gov.mb.ca/agriculture/business-and-economics/farm-business-management-contacts.html" TargetMode="External" /><Relationship Id="rId3" Type="http://schemas.openxmlformats.org/officeDocument/2006/relationships/hyperlink" Target="http://www.gov.mb.ca/agriculture/contact/index.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219075</xdr:colOff>
      <xdr:row>0</xdr:row>
      <xdr:rowOff>152400</xdr:rowOff>
    </xdr:from>
    <xdr:to>
      <xdr:col>9</xdr:col>
      <xdr:colOff>257175</xdr:colOff>
      <xdr:row>2</xdr:row>
      <xdr:rowOff>95250</xdr:rowOff>
    </xdr:to>
    <xdr:pic>
      <xdr:nvPicPr>
        <xdr:cNvPr id="1" name="Picture 2" descr="GovMB_Logo_blk10.jpg"/>
        <xdr:cNvPicPr preferRelativeResize="1">
          <a:picLocks noChangeAspect="1"/>
        </xdr:cNvPicPr>
      </xdr:nvPicPr>
      <xdr:blipFill>
        <a:blip r:embed="rId1"/>
        <a:stretch>
          <a:fillRect/>
        </a:stretch>
      </xdr:blipFill>
      <xdr:spPr>
        <a:xfrm>
          <a:off x="5353050" y="152400"/>
          <a:ext cx="1676400" cy="323850"/>
        </a:xfrm>
        <a:prstGeom prst="rect">
          <a:avLst/>
        </a:prstGeom>
        <a:noFill/>
        <a:ln w="9525" cmpd="sng">
          <a:noFill/>
        </a:ln>
      </xdr:spPr>
    </xdr:pic>
    <xdr:clientData/>
  </xdr:twoCellAnchor>
  <xdr:twoCellAnchor>
    <xdr:from>
      <xdr:col>1</xdr:col>
      <xdr:colOff>0</xdr:colOff>
      <xdr:row>31</xdr:row>
      <xdr:rowOff>228600</xdr:rowOff>
    </xdr:from>
    <xdr:to>
      <xdr:col>6</xdr:col>
      <xdr:colOff>781050</xdr:colOff>
      <xdr:row>33</xdr:row>
      <xdr:rowOff>38100</xdr:rowOff>
    </xdr:to>
    <xdr:sp>
      <xdr:nvSpPr>
        <xdr:cNvPr id="2" name="TextBox 2">
          <a:hlinkClick r:id="rId2"/>
        </xdr:cNvPr>
        <xdr:cNvSpPr txBox="1">
          <a:spLocks noChangeArrowheads="1"/>
        </xdr:cNvSpPr>
      </xdr:nvSpPr>
      <xdr:spPr>
        <a:xfrm>
          <a:off x="219075" y="6981825"/>
          <a:ext cx="4876800" cy="295275"/>
        </a:xfrm>
        <a:prstGeom prst="rect">
          <a:avLst/>
        </a:prstGeom>
        <a:noFill/>
        <a:ln w="9525" cmpd="sng">
          <a:noFill/>
        </a:ln>
      </xdr:spPr>
      <xdr:txBody>
        <a:bodyPr vertOverflow="clip" wrap="square"/>
        <a:p>
          <a:pPr algn="l">
            <a:defRPr/>
          </a:pPr>
          <a:r>
            <a:rPr lang="en-US" cap="none" sz="1400" b="0" i="1" u="sng" baseline="0">
              <a:solidFill>
                <a:srgbClr val="0000FF"/>
              </a:solidFill>
              <a:latin typeface="Arial"/>
              <a:ea typeface="Arial"/>
              <a:cs typeface="Arial"/>
            </a:rPr>
            <a:t>The Farm Machinery Custom and Rental Rate Guide</a:t>
          </a:r>
        </a:p>
      </xdr:txBody>
    </xdr:sp>
    <xdr:clientData/>
  </xdr:twoCellAnchor>
  <xdr:twoCellAnchor>
    <xdr:from>
      <xdr:col>5</xdr:col>
      <xdr:colOff>628650</xdr:colOff>
      <xdr:row>29</xdr:row>
      <xdr:rowOff>142875</xdr:rowOff>
    </xdr:from>
    <xdr:to>
      <xdr:col>9</xdr:col>
      <xdr:colOff>209550</xdr:colOff>
      <xdr:row>31</xdr:row>
      <xdr:rowOff>19050</xdr:rowOff>
    </xdr:to>
    <xdr:sp>
      <xdr:nvSpPr>
        <xdr:cNvPr id="3" name="TextBox 3">
          <a:hlinkClick r:id="rId3"/>
        </xdr:cNvPr>
        <xdr:cNvSpPr txBox="1">
          <a:spLocks noChangeArrowheads="1"/>
        </xdr:cNvSpPr>
      </xdr:nvSpPr>
      <xdr:spPr>
        <a:xfrm>
          <a:off x="4124325" y="6477000"/>
          <a:ext cx="2857500" cy="295275"/>
        </a:xfrm>
        <a:prstGeom prst="rect">
          <a:avLst/>
        </a:prstGeom>
        <a:noFill/>
        <a:ln w="9525" cmpd="sng">
          <a:noFill/>
        </a:ln>
      </xdr:spPr>
      <xdr:txBody>
        <a:bodyPr vertOverflow="clip" wrap="square"/>
        <a:p>
          <a:pPr algn="l">
            <a:defRPr/>
          </a:pPr>
          <a:r>
            <a:rPr lang="en-US" cap="none" sz="1400" b="0" i="0" u="sng" baseline="0">
              <a:solidFill>
                <a:srgbClr val="0000FF"/>
              </a:solidFill>
              <a:latin typeface="Arial"/>
              <a:ea typeface="Arial"/>
              <a:cs typeface="Arial"/>
            </a:rPr>
            <a:t>www.manitoba.ca/agriculture</a:t>
          </a:r>
        </a:p>
      </xdr:txBody>
    </xdr:sp>
    <xdr:clientData/>
  </xdr:twoCellAnchor>
  <xdr:twoCellAnchor>
    <xdr:from>
      <xdr:col>2</xdr:col>
      <xdr:colOff>390525</xdr:colOff>
      <xdr:row>30</xdr:row>
      <xdr:rowOff>209550</xdr:rowOff>
    </xdr:from>
    <xdr:to>
      <xdr:col>6</xdr:col>
      <xdr:colOff>266700</xdr:colOff>
      <xdr:row>32</xdr:row>
      <xdr:rowOff>57150</xdr:rowOff>
    </xdr:to>
    <xdr:sp>
      <xdr:nvSpPr>
        <xdr:cNvPr id="4" name="TextBox 4">
          <a:hlinkClick r:id="rId4"/>
        </xdr:cNvPr>
        <xdr:cNvSpPr txBox="1">
          <a:spLocks noChangeArrowheads="1"/>
        </xdr:cNvSpPr>
      </xdr:nvSpPr>
      <xdr:spPr>
        <a:xfrm>
          <a:off x="1428750" y="6734175"/>
          <a:ext cx="3152775" cy="333375"/>
        </a:xfrm>
        <a:prstGeom prst="rect">
          <a:avLst/>
        </a:prstGeom>
        <a:noFill/>
        <a:ln w="9525" cmpd="sng">
          <a:noFill/>
        </a:ln>
      </xdr:spPr>
      <xdr:txBody>
        <a:bodyPr vertOverflow="clip" wrap="square"/>
        <a:p>
          <a:pPr algn="l">
            <a:defRPr/>
          </a:pPr>
          <a:r>
            <a:rPr lang="en-US" cap="none" sz="1400" b="0" i="0" u="sng" baseline="0">
              <a:solidFill>
                <a:srgbClr val="0000FF"/>
              </a:solidFill>
              <a:latin typeface="Arial"/>
              <a:ea typeface="Arial"/>
              <a:cs typeface="Arial"/>
            </a:rPr>
            <a:t>Manitoba Agriculture GO Office.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161925</xdr:rowOff>
    </xdr:from>
    <xdr:to>
      <xdr:col>9</xdr:col>
      <xdr:colOff>495300</xdr:colOff>
      <xdr:row>1</xdr:row>
      <xdr:rowOff>152400</xdr:rowOff>
    </xdr:to>
    <xdr:pic>
      <xdr:nvPicPr>
        <xdr:cNvPr id="1" name="Picture 2" descr="GovMB_Logo_blk10.jpg"/>
        <xdr:cNvPicPr preferRelativeResize="1">
          <a:picLocks noChangeAspect="1"/>
        </xdr:cNvPicPr>
      </xdr:nvPicPr>
      <xdr:blipFill>
        <a:blip r:embed="rId1"/>
        <a:stretch>
          <a:fillRect/>
        </a:stretch>
      </xdr:blipFill>
      <xdr:spPr>
        <a:xfrm>
          <a:off x="6257925" y="161925"/>
          <a:ext cx="1504950" cy="333375"/>
        </a:xfrm>
        <a:prstGeom prst="rect">
          <a:avLst/>
        </a:prstGeom>
        <a:noFill/>
        <a:ln w="9525" cmpd="sng">
          <a:noFill/>
        </a:ln>
      </xdr:spPr>
    </xdr:pic>
    <xdr:clientData/>
  </xdr:twoCellAnchor>
  <xdr:twoCellAnchor>
    <xdr:from>
      <xdr:col>1</xdr:col>
      <xdr:colOff>1876425</xdr:colOff>
      <xdr:row>71</xdr:row>
      <xdr:rowOff>47625</xdr:rowOff>
    </xdr:from>
    <xdr:to>
      <xdr:col>6</xdr:col>
      <xdr:colOff>352425</xdr:colOff>
      <xdr:row>73</xdr:row>
      <xdr:rowOff>0</xdr:rowOff>
    </xdr:to>
    <xdr:sp>
      <xdr:nvSpPr>
        <xdr:cNvPr id="2" name="TextBox 6">
          <a:hlinkClick r:id="rId2"/>
        </xdr:cNvPr>
        <xdr:cNvSpPr txBox="1">
          <a:spLocks noChangeArrowheads="1"/>
        </xdr:cNvSpPr>
      </xdr:nvSpPr>
      <xdr:spPr>
        <a:xfrm>
          <a:off x="2019300" y="14116050"/>
          <a:ext cx="3457575" cy="228600"/>
        </a:xfrm>
        <a:prstGeom prst="rect">
          <a:avLst/>
        </a:prstGeom>
        <a:noFill/>
        <a:ln w="9525" cmpd="sng">
          <a:noFill/>
        </a:ln>
      </xdr:spPr>
      <xdr:txBody>
        <a:bodyPr vertOverflow="clip" wrap="square"/>
        <a:p>
          <a:pPr algn="l">
            <a:defRPr/>
          </a:pPr>
          <a:r>
            <a:rPr lang="en-US" cap="none" sz="1200" b="1" i="0" u="sng" baseline="0">
              <a:solidFill>
                <a:srgbClr val="0000FF"/>
              </a:solidFill>
              <a:latin typeface="Arial"/>
              <a:ea typeface="Arial"/>
              <a:cs typeface="Arial"/>
            </a:rPr>
            <a:t>Manitoba Agriculture Farm Management</a:t>
          </a:r>
        </a:p>
      </xdr:txBody>
    </xdr:sp>
    <xdr:clientData/>
  </xdr:twoCellAnchor>
  <xdr:twoCellAnchor>
    <xdr:from>
      <xdr:col>3</xdr:col>
      <xdr:colOff>38100</xdr:colOff>
      <xdr:row>72</xdr:row>
      <xdr:rowOff>152400</xdr:rowOff>
    </xdr:from>
    <xdr:to>
      <xdr:col>7</xdr:col>
      <xdr:colOff>104775</xdr:colOff>
      <xdr:row>74</xdr:row>
      <xdr:rowOff>0</xdr:rowOff>
    </xdr:to>
    <xdr:sp>
      <xdr:nvSpPr>
        <xdr:cNvPr id="3" name="TextBox 7">
          <a:hlinkClick r:id="rId3"/>
        </xdr:cNvPr>
        <xdr:cNvSpPr txBox="1">
          <a:spLocks noChangeArrowheads="1"/>
        </xdr:cNvSpPr>
      </xdr:nvSpPr>
      <xdr:spPr>
        <a:xfrm>
          <a:off x="3019425" y="14316075"/>
          <a:ext cx="2924175" cy="219075"/>
        </a:xfrm>
        <a:prstGeom prst="rect">
          <a:avLst/>
        </a:prstGeom>
        <a:noFill/>
        <a:ln w="9525" cmpd="sng">
          <a:noFill/>
        </a:ln>
      </xdr:spPr>
      <xdr:txBody>
        <a:bodyPr vertOverflow="clip" wrap="square" anchor="ctr"/>
        <a:p>
          <a:pPr algn="l">
            <a:defRPr/>
          </a:pPr>
          <a:r>
            <a:rPr lang="en-US" cap="none" sz="1200" b="1" i="0" u="sng" baseline="0">
              <a:solidFill>
                <a:srgbClr val="0000FF"/>
              </a:solidFill>
              <a:latin typeface="Arial"/>
              <a:ea typeface="Arial"/>
              <a:cs typeface="Arial"/>
            </a:rPr>
            <a:t>Manitoba Agriculture GO Office </a:t>
          </a:r>
          <a:r>
            <a:rPr lang="en-US" cap="none" sz="1200" b="1" i="0" u="none" baseline="0">
              <a:solidFill>
                <a:srgbClr val="000000"/>
              </a:solidFill>
              <a:latin typeface="Arial"/>
              <a:ea typeface="Arial"/>
              <a:cs typeface="Arial"/>
            </a:rPr>
            <a:t>or: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447675</xdr:colOff>
      <xdr:row>0</xdr:row>
      <xdr:rowOff>152400</xdr:rowOff>
    </xdr:from>
    <xdr:to>
      <xdr:col>9</xdr:col>
      <xdr:colOff>523875</xdr:colOff>
      <xdr:row>1</xdr:row>
      <xdr:rowOff>142875</xdr:rowOff>
    </xdr:to>
    <xdr:pic>
      <xdr:nvPicPr>
        <xdr:cNvPr id="1" name="Picture 2" descr="GovMB_Logo_blk10.jpg"/>
        <xdr:cNvPicPr preferRelativeResize="1">
          <a:picLocks noChangeAspect="1"/>
        </xdr:cNvPicPr>
      </xdr:nvPicPr>
      <xdr:blipFill>
        <a:blip r:embed="rId1"/>
        <a:stretch>
          <a:fillRect/>
        </a:stretch>
      </xdr:blipFill>
      <xdr:spPr>
        <a:xfrm>
          <a:off x="6019800" y="152400"/>
          <a:ext cx="1504950" cy="333375"/>
        </a:xfrm>
        <a:prstGeom prst="rect">
          <a:avLst/>
        </a:prstGeom>
        <a:noFill/>
        <a:ln w="9525" cmpd="sng">
          <a:noFill/>
        </a:ln>
      </xdr:spPr>
    </xdr:pic>
    <xdr:clientData/>
  </xdr:twoCellAnchor>
  <xdr:twoCellAnchor>
    <xdr:from>
      <xdr:col>1</xdr:col>
      <xdr:colOff>1771650</xdr:colOff>
      <xdr:row>20</xdr:row>
      <xdr:rowOff>47625</xdr:rowOff>
    </xdr:from>
    <xdr:to>
      <xdr:col>6</xdr:col>
      <xdr:colOff>352425</xdr:colOff>
      <xdr:row>22</xdr:row>
      <xdr:rowOff>0</xdr:rowOff>
    </xdr:to>
    <xdr:sp>
      <xdr:nvSpPr>
        <xdr:cNvPr id="2" name="TextBox 6">
          <a:hlinkClick r:id="rId2"/>
        </xdr:cNvPr>
        <xdr:cNvSpPr txBox="1">
          <a:spLocks noChangeArrowheads="1"/>
        </xdr:cNvSpPr>
      </xdr:nvSpPr>
      <xdr:spPr>
        <a:xfrm>
          <a:off x="2000250" y="4391025"/>
          <a:ext cx="3209925" cy="228600"/>
        </a:xfrm>
        <a:prstGeom prst="rect">
          <a:avLst/>
        </a:prstGeom>
        <a:noFill/>
        <a:ln w="9525" cmpd="sng">
          <a:noFill/>
        </a:ln>
      </xdr:spPr>
      <xdr:txBody>
        <a:bodyPr vertOverflow="clip" wrap="square"/>
        <a:p>
          <a:pPr algn="l">
            <a:defRPr/>
          </a:pPr>
          <a:r>
            <a:rPr lang="en-US" cap="none" sz="1200" b="1" i="0" u="sng" baseline="0">
              <a:solidFill>
                <a:srgbClr val="0000FF"/>
              </a:solidFill>
              <a:latin typeface="Arial"/>
              <a:ea typeface="Arial"/>
              <a:cs typeface="Arial"/>
            </a:rPr>
            <a:t>Manitoba Agriculture Farm Management</a:t>
          </a:r>
        </a:p>
      </xdr:txBody>
    </xdr:sp>
    <xdr:clientData/>
  </xdr:twoCellAnchor>
  <xdr:twoCellAnchor>
    <xdr:from>
      <xdr:col>3</xdr:col>
      <xdr:colOff>228600</xdr:colOff>
      <xdr:row>21</xdr:row>
      <xdr:rowOff>152400</xdr:rowOff>
    </xdr:from>
    <xdr:to>
      <xdr:col>7</xdr:col>
      <xdr:colOff>295275</xdr:colOff>
      <xdr:row>23</xdr:row>
      <xdr:rowOff>0</xdr:rowOff>
    </xdr:to>
    <xdr:sp>
      <xdr:nvSpPr>
        <xdr:cNvPr id="3" name="TextBox 7">
          <a:hlinkClick r:id="rId3"/>
        </xdr:cNvPr>
        <xdr:cNvSpPr txBox="1">
          <a:spLocks noChangeArrowheads="1"/>
        </xdr:cNvSpPr>
      </xdr:nvSpPr>
      <xdr:spPr>
        <a:xfrm>
          <a:off x="2943225" y="4591050"/>
          <a:ext cx="2924175" cy="219075"/>
        </a:xfrm>
        <a:prstGeom prst="rect">
          <a:avLst/>
        </a:prstGeom>
        <a:noFill/>
        <a:ln w="9525" cmpd="sng">
          <a:noFill/>
        </a:ln>
      </xdr:spPr>
      <xdr:txBody>
        <a:bodyPr vertOverflow="clip" wrap="square" anchor="ctr"/>
        <a:p>
          <a:pPr algn="l">
            <a:defRPr/>
          </a:pPr>
          <a:r>
            <a:rPr lang="en-US" cap="none" sz="1200" b="1" i="0" u="sng" baseline="0">
              <a:solidFill>
                <a:srgbClr val="0000FF"/>
              </a:solidFill>
              <a:latin typeface="Arial"/>
              <a:ea typeface="Arial"/>
              <a:cs typeface="Arial"/>
            </a:rPr>
            <a:t>Manitoba Agriculture GO Office </a:t>
          </a:r>
          <a:r>
            <a:rPr lang="en-US" cap="none" sz="1200" b="1" i="0" u="none" baseline="0">
              <a:solidFill>
                <a:srgbClr val="000000"/>
              </a:solidFill>
              <a:latin typeface="Arial"/>
              <a:ea typeface="Arial"/>
              <a:cs typeface="Arial"/>
            </a:rPr>
            <a:t>or: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447675</xdr:colOff>
      <xdr:row>0</xdr:row>
      <xdr:rowOff>152400</xdr:rowOff>
    </xdr:from>
    <xdr:to>
      <xdr:col>9</xdr:col>
      <xdr:colOff>523875</xdr:colOff>
      <xdr:row>1</xdr:row>
      <xdr:rowOff>142875</xdr:rowOff>
    </xdr:to>
    <xdr:pic>
      <xdr:nvPicPr>
        <xdr:cNvPr id="1" name="Picture 2" descr="GovMB_Logo_blk10.jpg"/>
        <xdr:cNvPicPr preferRelativeResize="1">
          <a:picLocks noChangeAspect="1"/>
        </xdr:cNvPicPr>
      </xdr:nvPicPr>
      <xdr:blipFill>
        <a:blip r:embed="rId1"/>
        <a:stretch>
          <a:fillRect/>
        </a:stretch>
      </xdr:blipFill>
      <xdr:spPr>
        <a:xfrm>
          <a:off x="6143625" y="152400"/>
          <a:ext cx="1504950" cy="333375"/>
        </a:xfrm>
        <a:prstGeom prst="rect">
          <a:avLst/>
        </a:prstGeom>
        <a:noFill/>
        <a:ln w="9525" cmpd="sng">
          <a:noFill/>
        </a:ln>
      </xdr:spPr>
    </xdr:pic>
    <xdr:clientData/>
  </xdr:twoCellAnchor>
  <xdr:twoCellAnchor>
    <xdr:from>
      <xdr:col>1</xdr:col>
      <xdr:colOff>1876425</xdr:colOff>
      <xdr:row>54</xdr:row>
      <xdr:rowOff>47625</xdr:rowOff>
    </xdr:from>
    <xdr:to>
      <xdr:col>6</xdr:col>
      <xdr:colOff>352425</xdr:colOff>
      <xdr:row>56</xdr:row>
      <xdr:rowOff>0</xdr:rowOff>
    </xdr:to>
    <xdr:sp>
      <xdr:nvSpPr>
        <xdr:cNvPr id="2" name="TextBox 6">
          <a:hlinkClick r:id="rId2"/>
        </xdr:cNvPr>
        <xdr:cNvSpPr txBox="1">
          <a:spLocks noChangeArrowheads="1"/>
        </xdr:cNvSpPr>
      </xdr:nvSpPr>
      <xdr:spPr>
        <a:xfrm>
          <a:off x="2105025" y="10782300"/>
          <a:ext cx="3228975" cy="228600"/>
        </a:xfrm>
        <a:prstGeom prst="rect">
          <a:avLst/>
        </a:prstGeom>
        <a:noFill/>
        <a:ln w="9525" cmpd="sng">
          <a:noFill/>
        </a:ln>
      </xdr:spPr>
      <xdr:txBody>
        <a:bodyPr vertOverflow="clip" wrap="square"/>
        <a:p>
          <a:pPr algn="l">
            <a:defRPr/>
          </a:pPr>
          <a:r>
            <a:rPr lang="en-US" cap="none" sz="1200" b="1" i="0" u="sng" baseline="0">
              <a:solidFill>
                <a:srgbClr val="0000FF"/>
              </a:solidFill>
              <a:latin typeface="Arial"/>
              <a:ea typeface="Arial"/>
              <a:cs typeface="Arial"/>
            </a:rPr>
            <a:t>Manitoba Agriculture Farm Management</a:t>
          </a:r>
        </a:p>
      </xdr:txBody>
    </xdr:sp>
    <xdr:clientData/>
  </xdr:twoCellAnchor>
  <xdr:twoCellAnchor>
    <xdr:from>
      <xdr:col>3</xdr:col>
      <xdr:colOff>228600</xdr:colOff>
      <xdr:row>55</xdr:row>
      <xdr:rowOff>152400</xdr:rowOff>
    </xdr:from>
    <xdr:to>
      <xdr:col>7</xdr:col>
      <xdr:colOff>295275</xdr:colOff>
      <xdr:row>57</xdr:row>
      <xdr:rowOff>0</xdr:rowOff>
    </xdr:to>
    <xdr:sp>
      <xdr:nvSpPr>
        <xdr:cNvPr id="3" name="TextBox 7">
          <a:hlinkClick r:id="rId3"/>
        </xdr:cNvPr>
        <xdr:cNvSpPr txBox="1">
          <a:spLocks noChangeArrowheads="1"/>
        </xdr:cNvSpPr>
      </xdr:nvSpPr>
      <xdr:spPr>
        <a:xfrm>
          <a:off x="3067050" y="10982325"/>
          <a:ext cx="2924175" cy="219075"/>
        </a:xfrm>
        <a:prstGeom prst="rect">
          <a:avLst/>
        </a:prstGeom>
        <a:noFill/>
        <a:ln w="9525" cmpd="sng">
          <a:noFill/>
        </a:ln>
      </xdr:spPr>
      <xdr:txBody>
        <a:bodyPr vertOverflow="clip" wrap="square" anchor="ctr"/>
        <a:p>
          <a:pPr algn="l">
            <a:defRPr/>
          </a:pPr>
          <a:r>
            <a:rPr lang="en-US" cap="none" sz="1200" b="1" i="0" u="sng" baseline="0">
              <a:solidFill>
                <a:srgbClr val="0000FF"/>
              </a:solidFill>
              <a:latin typeface="Arial"/>
              <a:ea typeface="Arial"/>
              <a:cs typeface="Arial"/>
            </a:rPr>
            <a:t>Manitoba Agriculture GO Office </a:t>
          </a:r>
          <a:r>
            <a:rPr lang="en-US" cap="none" sz="1200" b="1" i="0" u="none" baseline="0">
              <a:solidFill>
                <a:srgbClr val="000000"/>
              </a:solidFill>
              <a:latin typeface="Arial"/>
              <a:ea typeface="Arial"/>
              <a:cs typeface="Arial"/>
            </a:rPr>
            <a:t>or: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447675</xdr:colOff>
      <xdr:row>0</xdr:row>
      <xdr:rowOff>152400</xdr:rowOff>
    </xdr:from>
    <xdr:to>
      <xdr:col>9</xdr:col>
      <xdr:colOff>523875</xdr:colOff>
      <xdr:row>1</xdr:row>
      <xdr:rowOff>142875</xdr:rowOff>
    </xdr:to>
    <xdr:pic>
      <xdr:nvPicPr>
        <xdr:cNvPr id="1" name="Picture 2" descr="GovMB_Logo_blk10.jpg"/>
        <xdr:cNvPicPr preferRelativeResize="1">
          <a:picLocks noChangeAspect="1"/>
        </xdr:cNvPicPr>
      </xdr:nvPicPr>
      <xdr:blipFill>
        <a:blip r:embed="rId1"/>
        <a:stretch>
          <a:fillRect/>
        </a:stretch>
      </xdr:blipFill>
      <xdr:spPr>
        <a:xfrm>
          <a:off x="6143625" y="152400"/>
          <a:ext cx="1504950" cy="333375"/>
        </a:xfrm>
        <a:prstGeom prst="rect">
          <a:avLst/>
        </a:prstGeom>
        <a:noFill/>
        <a:ln w="9525" cmpd="sng">
          <a:noFill/>
        </a:ln>
      </xdr:spPr>
    </xdr:pic>
    <xdr:clientData/>
  </xdr:twoCellAnchor>
  <xdr:twoCellAnchor>
    <xdr:from>
      <xdr:col>4</xdr:col>
      <xdr:colOff>695325</xdr:colOff>
      <xdr:row>21</xdr:row>
      <xdr:rowOff>28575</xdr:rowOff>
    </xdr:from>
    <xdr:to>
      <xdr:col>5</xdr:col>
      <xdr:colOff>333375</xdr:colOff>
      <xdr:row>23</xdr:row>
      <xdr:rowOff>9525</xdr:rowOff>
    </xdr:to>
    <xdr:sp>
      <xdr:nvSpPr>
        <xdr:cNvPr id="2" name="Straight Arrow Connector 4"/>
        <xdr:cNvSpPr>
          <a:spLocks/>
        </xdr:cNvSpPr>
      </xdr:nvSpPr>
      <xdr:spPr>
        <a:xfrm flipH="1">
          <a:off x="4248150" y="4086225"/>
          <a:ext cx="352425" cy="2762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466725</xdr:colOff>
      <xdr:row>21</xdr:row>
      <xdr:rowOff>19050</xdr:rowOff>
    </xdr:from>
    <xdr:to>
      <xdr:col>6</xdr:col>
      <xdr:colOff>323850</xdr:colOff>
      <xdr:row>23</xdr:row>
      <xdr:rowOff>9525</xdr:rowOff>
    </xdr:to>
    <xdr:sp>
      <xdr:nvSpPr>
        <xdr:cNvPr id="3" name="Straight Arrow Connector 5"/>
        <xdr:cNvSpPr>
          <a:spLocks/>
        </xdr:cNvSpPr>
      </xdr:nvSpPr>
      <xdr:spPr>
        <a:xfrm>
          <a:off x="4733925" y="4076700"/>
          <a:ext cx="571500" cy="2857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704850</xdr:colOff>
      <xdr:row>21</xdr:row>
      <xdr:rowOff>9525</xdr:rowOff>
    </xdr:from>
    <xdr:to>
      <xdr:col>5</xdr:col>
      <xdr:colOff>180975</xdr:colOff>
      <xdr:row>22</xdr:row>
      <xdr:rowOff>190500</xdr:rowOff>
    </xdr:to>
    <xdr:sp>
      <xdr:nvSpPr>
        <xdr:cNvPr id="4" name="Straight Arrow Connector 6"/>
        <xdr:cNvSpPr>
          <a:spLocks/>
        </xdr:cNvSpPr>
      </xdr:nvSpPr>
      <xdr:spPr>
        <a:xfrm flipH="1">
          <a:off x="2828925" y="4067175"/>
          <a:ext cx="1619250" cy="2762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695325</xdr:colOff>
      <xdr:row>20</xdr:row>
      <xdr:rowOff>180975</xdr:rowOff>
    </xdr:from>
    <xdr:to>
      <xdr:col>8</xdr:col>
      <xdr:colOff>342900</xdr:colOff>
      <xdr:row>23</xdr:row>
      <xdr:rowOff>28575</xdr:rowOff>
    </xdr:to>
    <xdr:sp>
      <xdr:nvSpPr>
        <xdr:cNvPr id="5" name="Straight Arrow Connector 9"/>
        <xdr:cNvSpPr>
          <a:spLocks/>
        </xdr:cNvSpPr>
      </xdr:nvSpPr>
      <xdr:spPr>
        <a:xfrm>
          <a:off x="4962525" y="4038600"/>
          <a:ext cx="1790700" cy="342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438150</xdr:colOff>
      <xdr:row>25</xdr:row>
      <xdr:rowOff>66675</xdr:rowOff>
    </xdr:from>
    <xdr:to>
      <xdr:col>4</xdr:col>
      <xdr:colOff>438150</xdr:colOff>
      <xdr:row>26</xdr:row>
      <xdr:rowOff>180975</xdr:rowOff>
    </xdr:to>
    <xdr:sp>
      <xdr:nvSpPr>
        <xdr:cNvPr id="6" name="Straight Arrow Connector 17"/>
        <xdr:cNvSpPr>
          <a:spLocks/>
        </xdr:cNvSpPr>
      </xdr:nvSpPr>
      <xdr:spPr>
        <a:xfrm>
          <a:off x="3990975" y="4819650"/>
          <a:ext cx="0" cy="2095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438150</xdr:colOff>
      <xdr:row>25</xdr:row>
      <xdr:rowOff>66675</xdr:rowOff>
    </xdr:from>
    <xdr:to>
      <xdr:col>6</xdr:col>
      <xdr:colOff>438150</xdr:colOff>
      <xdr:row>26</xdr:row>
      <xdr:rowOff>180975</xdr:rowOff>
    </xdr:to>
    <xdr:sp>
      <xdr:nvSpPr>
        <xdr:cNvPr id="7" name="Straight Arrow Connector 21"/>
        <xdr:cNvSpPr>
          <a:spLocks/>
        </xdr:cNvSpPr>
      </xdr:nvSpPr>
      <xdr:spPr>
        <a:xfrm>
          <a:off x="5419725" y="4819650"/>
          <a:ext cx="0" cy="2095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428625</xdr:colOff>
      <xdr:row>25</xdr:row>
      <xdr:rowOff>85725</xdr:rowOff>
    </xdr:from>
    <xdr:to>
      <xdr:col>8</xdr:col>
      <xdr:colOff>428625</xdr:colOff>
      <xdr:row>27</xdr:row>
      <xdr:rowOff>0</xdr:rowOff>
    </xdr:to>
    <xdr:sp>
      <xdr:nvSpPr>
        <xdr:cNvPr id="8" name="Straight Arrow Connector 22"/>
        <xdr:cNvSpPr>
          <a:spLocks/>
        </xdr:cNvSpPr>
      </xdr:nvSpPr>
      <xdr:spPr>
        <a:xfrm>
          <a:off x="6838950" y="4838700"/>
          <a:ext cx="0" cy="2095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438150</xdr:colOff>
      <xdr:row>25</xdr:row>
      <xdr:rowOff>66675</xdr:rowOff>
    </xdr:from>
    <xdr:to>
      <xdr:col>2</xdr:col>
      <xdr:colOff>438150</xdr:colOff>
      <xdr:row>26</xdr:row>
      <xdr:rowOff>180975</xdr:rowOff>
    </xdr:to>
    <xdr:sp>
      <xdr:nvSpPr>
        <xdr:cNvPr id="9" name="Straight Arrow Connector 23"/>
        <xdr:cNvSpPr>
          <a:spLocks/>
        </xdr:cNvSpPr>
      </xdr:nvSpPr>
      <xdr:spPr>
        <a:xfrm>
          <a:off x="2562225" y="4819650"/>
          <a:ext cx="0" cy="2095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695325</xdr:colOff>
      <xdr:row>56</xdr:row>
      <xdr:rowOff>28575</xdr:rowOff>
    </xdr:from>
    <xdr:to>
      <xdr:col>5</xdr:col>
      <xdr:colOff>333375</xdr:colOff>
      <xdr:row>58</xdr:row>
      <xdr:rowOff>9525</xdr:rowOff>
    </xdr:to>
    <xdr:sp>
      <xdr:nvSpPr>
        <xdr:cNvPr id="10" name="Straight Arrow Connector 24"/>
        <xdr:cNvSpPr>
          <a:spLocks/>
        </xdr:cNvSpPr>
      </xdr:nvSpPr>
      <xdr:spPr>
        <a:xfrm flipH="1">
          <a:off x="4248150" y="10048875"/>
          <a:ext cx="352425" cy="2762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466725</xdr:colOff>
      <xdr:row>56</xdr:row>
      <xdr:rowOff>19050</xdr:rowOff>
    </xdr:from>
    <xdr:to>
      <xdr:col>6</xdr:col>
      <xdr:colOff>323850</xdr:colOff>
      <xdr:row>58</xdr:row>
      <xdr:rowOff>9525</xdr:rowOff>
    </xdr:to>
    <xdr:sp>
      <xdr:nvSpPr>
        <xdr:cNvPr id="11" name="Straight Arrow Connector 25"/>
        <xdr:cNvSpPr>
          <a:spLocks/>
        </xdr:cNvSpPr>
      </xdr:nvSpPr>
      <xdr:spPr>
        <a:xfrm>
          <a:off x="4733925" y="10039350"/>
          <a:ext cx="571500" cy="2857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704850</xdr:colOff>
      <xdr:row>56</xdr:row>
      <xdr:rowOff>9525</xdr:rowOff>
    </xdr:from>
    <xdr:to>
      <xdr:col>5</xdr:col>
      <xdr:colOff>180975</xdr:colOff>
      <xdr:row>57</xdr:row>
      <xdr:rowOff>190500</xdr:rowOff>
    </xdr:to>
    <xdr:sp>
      <xdr:nvSpPr>
        <xdr:cNvPr id="12" name="Straight Arrow Connector 26"/>
        <xdr:cNvSpPr>
          <a:spLocks/>
        </xdr:cNvSpPr>
      </xdr:nvSpPr>
      <xdr:spPr>
        <a:xfrm flipH="1">
          <a:off x="2828925" y="10029825"/>
          <a:ext cx="1619250" cy="2762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695325</xdr:colOff>
      <xdr:row>55</xdr:row>
      <xdr:rowOff>180975</xdr:rowOff>
    </xdr:from>
    <xdr:to>
      <xdr:col>8</xdr:col>
      <xdr:colOff>342900</xdr:colOff>
      <xdr:row>58</xdr:row>
      <xdr:rowOff>28575</xdr:rowOff>
    </xdr:to>
    <xdr:sp>
      <xdr:nvSpPr>
        <xdr:cNvPr id="13" name="Straight Arrow Connector 27"/>
        <xdr:cNvSpPr>
          <a:spLocks/>
        </xdr:cNvSpPr>
      </xdr:nvSpPr>
      <xdr:spPr>
        <a:xfrm>
          <a:off x="4962525" y="10001250"/>
          <a:ext cx="1790700" cy="342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438150</xdr:colOff>
      <xdr:row>61</xdr:row>
      <xdr:rowOff>66675</xdr:rowOff>
    </xdr:from>
    <xdr:to>
      <xdr:col>4</xdr:col>
      <xdr:colOff>438150</xdr:colOff>
      <xdr:row>62</xdr:row>
      <xdr:rowOff>180975</xdr:rowOff>
    </xdr:to>
    <xdr:sp>
      <xdr:nvSpPr>
        <xdr:cNvPr id="14" name="Straight Arrow Connector 28"/>
        <xdr:cNvSpPr>
          <a:spLocks/>
        </xdr:cNvSpPr>
      </xdr:nvSpPr>
      <xdr:spPr>
        <a:xfrm>
          <a:off x="3990975" y="10877550"/>
          <a:ext cx="0" cy="2095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438150</xdr:colOff>
      <xdr:row>61</xdr:row>
      <xdr:rowOff>66675</xdr:rowOff>
    </xdr:from>
    <xdr:to>
      <xdr:col>6</xdr:col>
      <xdr:colOff>438150</xdr:colOff>
      <xdr:row>62</xdr:row>
      <xdr:rowOff>180975</xdr:rowOff>
    </xdr:to>
    <xdr:sp>
      <xdr:nvSpPr>
        <xdr:cNvPr id="15" name="Straight Arrow Connector 29"/>
        <xdr:cNvSpPr>
          <a:spLocks/>
        </xdr:cNvSpPr>
      </xdr:nvSpPr>
      <xdr:spPr>
        <a:xfrm>
          <a:off x="5419725" y="10877550"/>
          <a:ext cx="0" cy="2095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428625</xdr:colOff>
      <xdr:row>61</xdr:row>
      <xdr:rowOff>85725</xdr:rowOff>
    </xdr:from>
    <xdr:to>
      <xdr:col>8</xdr:col>
      <xdr:colOff>428625</xdr:colOff>
      <xdr:row>63</xdr:row>
      <xdr:rowOff>0</xdr:rowOff>
    </xdr:to>
    <xdr:sp>
      <xdr:nvSpPr>
        <xdr:cNvPr id="16" name="Straight Arrow Connector 30"/>
        <xdr:cNvSpPr>
          <a:spLocks/>
        </xdr:cNvSpPr>
      </xdr:nvSpPr>
      <xdr:spPr>
        <a:xfrm>
          <a:off x="6838950" y="10896600"/>
          <a:ext cx="0" cy="2095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438150</xdr:colOff>
      <xdr:row>61</xdr:row>
      <xdr:rowOff>66675</xdr:rowOff>
    </xdr:from>
    <xdr:to>
      <xdr:col>2</xdr:col>
      <xdr:colOff>438150</xdr:colOff>
      <xdr:row>62</xdr:row>
      <xdr:rowOff>180975</xdr:rowOff>
    </xdr:to>
    <xdr:sp>
      <xdr:nvSpPr>
        <xdr:cNvPr id="17" name="Straight Arrow Connector 31"/>
        <xdr:cNvSpPr>
          <a:spLocks/>
        </xdr:cNvSpPr>
      </xdr:nvSpPr>
      <xdr:spPr>
        <a:xfrm>
          <a:off x="2562225" y="10877550"/>
          <a:ext cx="0" cy="2095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1876425</xdr:colOff>
      <xdr:row>78</xdr:row>
      <xdr:rowOff>47625</xdr:rowOff>
    </xdr:from>
    <xdr:to>
      <xdr:col>6</xdr:col>
      <xdr:colOff>352425</xdr:colOff>
      <xdr:row>80</xdr:row>
      <xdr:rowOff>0</xdr:rowOff>
    </xdr:to>
    <xdr:sp>
      <xdr:nvSpPr>
        <xdr:cNvPr id="18" name="TextBox 20">
          <a:hlinkClick r:id="rId2"/>
        </xdr:cNvPr>
        <xdr:cNvSpPr txBox="1">
          <a:spLocks noChangeArrowheads="1"/>
        </xdr:cNvSpPr>
      </xdr:nvSpPr>
      <xdr:spPr>
        <a:xfrm>
          <a:off x="2105025" y="13811250"/>
          <a:ext cx="3228975" cy="228600"/>
        </a:xfrm>
        <a:prstGeom prst="rect">
          <a:avLst/>
        </a:prstGeom>
        <a:noFill/>
        <a:ln w="9525" cmpd="sng">
          <a:noFill/>
        </a:ln>
      </xdr:spPr>
      <xdr:txBody>
        <a:bodyPr vertOverflow="clip" wrap="square"/>
        <a:p>
          <a:pPr algn="l">
            <a:defRPr/>
          </a:pPr>
          <a:r>
            <a:rPr lang="en-US" cap="none" sz="1200" b="1" i="0" u="sng" baseline="0">
              <a:solidFill>
                <a:srgbClr val="0000FF"/>
              </a:solidFill>
              <a:latin typeface="Arial"/>
              <a:ea typeface="Arial"/>
              <a:cs typeface="Arial"/>
            </a:rPr>
            <a:t>Manitoba Agriculture Farm Management</a:t>
          </a:r>
        </a:p>
      </xdr:txBody>
    </xdr:sp>
    <xdr:clientData/>
  </xdr:twoCellAnchor>
  <xdr:twoCellAnchor>
    <xdr:from>
      <xdr:col>3</xdr:col>
      <xdr:colOff>228600</xdr:colOff>
      <xdr:row>79</xdr:row>
      <xdr:rowOff>152400</xdr:rowOff>
    </xdr:from>
    <xdr:to>
      <xdr:col>7</xdr:col>
      <xdr:colOff>295275</xdr:colOff>
      <xdr:row>81</xdr:row>
      <xdr:rowOff>0</xdr:rowOff>
    </xdr:to>
    <xdr:sp>
      <xdr:nvSpPr>
        <xdr:cNvPr id="19" name="TextBox 32">
          <a:hlinkClick r:id="rId3"/>
        </xdr:cNvPr>
        <xdr:cNvSpPr txBox="1">
          <a:spLocks noChangeArrowheads="1"/>
        </xdr:cNvSpPr>
      </xdr:nvSpPr>
      <xdr:spPr>
        <a:xfrm>
          <a:off x="3067050" y="14011275"/>
          <a:ext cx="2924175" cy="219075"/>
        </a:xfrm>
        <a:prstGeom prst="rect">
          <a:avLst/>
        </a:prstGeom>
        <a:noFill/>
        <a:ln w="9525" cmpd="sng">
          <a:noFill/>
        </a:ln>
      </xdr:spPr>
      <xdr:txBody>
        <a:bodyPr vertOverflow="clip" wrap="square" anchor="ctr"/>
        <a:p>
          <a:pPr algn="l">
            <a:defRPr/>
          </a:pPr>
          <a:r>
            <a:rPr lang="en-US" cap="none" sz="1200" b="1" i="0" u="sng" baseline="0">
              <a:solidFill>
                <a:srgbClr val="0000FF"/>
              </a:solidFill>
              <a:latin typeface="Arial"/>
              <a:ea typeface="Arial"/>
              <a:cs typeface="Arial"/>
            </a:rPr>
            <a:t>Manitoba Agriculture GO Office </a:t>
          </a:r>
          <a:r>
            <a:rPr lang="en-US" cap="none" sz="1200" b="1" i="0" u="none" baseline="0">
              <a:solidFill>
                <a:srgbClr val="000000"/>
              </a:solidFill>
              <a:latin typeface="Arial"/>
              <a:ea typeface="Arial"/>
              <a:cs typeface="Arial"/>
            </a:rPr>
            <a:t>or: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447675</xdr:colOff>
      <xdr:row>0</xdr:row>
      <xdr:rowOff>152400</xdr:rowOff>
    </xdr:from>
    <xdr:to>
      <xdr:col>9</xdr:col>
      <xdr:colOff>523875</xdr:colOff>
      <xdr:row>1</xdr:row>
      <xdr:rowOff>142875</xdr:rowOff>
    </xdr:to>
    <xdr:pic>
      <xdr:nvPicPr>
        <xdr:cNvPr id="1" name="Picture 2" descr="GovMB_Logo_blk10.jpg"/>
        <xdr:cNvPicPr preferRelativeResize="1">
          <a:picLocks noChangeAspect="1"/>
        </xdr:cNvPicPr>
      </xdr:nvPicPr>
      <xdr:blipFill>
        <a:blip r:embed="rId1"/>
        <a:stretch>
          <a:fillRect/>
        </a:stretch>
      </xdr:blipFill>
      <xdr:spPr>
        <a:xfrm>
          <a:off x="6143625" y="152400"/>
          <a:ext cx="1504950" cy="333375"/>
        </a:xfrm>
        <a:prstGeom prst="rect">
          <a:avLst/>
        </a:prstGeom>
        <a:noFill/>
        <a:ln w="9525" cmpd="sng">
          <a:noFill/>
        </a:ln>
      </xdr:spPr>
    </xdr:pic>
    <xdr:clientData/>
  </xdr:twoCellAnchor>
  <xdr:twoCellAnchor>
    <xdr:from>
      <xdr:col>1</xdr:col>
      <xdr:colOff>1876425</xdr:colOff>
      <xdr:row>53</xdr:row>
      <xdr:rowOff>47625</xdr:rowOff>
    </xdr:from>
    <xdr:to>
      <xdr:col>6</xdr:col>
      <xdr:colOff>352425</xdr:colOff>
      <xdr:row>55</xdr:row>
      <xdr:rowOff>0</xdr:rowOff>
    </xdr:to>
    <xdr:sp>
      <xdr:nvSpPr>
        <xdr:cNvPr id="2" name="TextBox 6">
          <a:hlinkClick r:id="rId2"/>
        </xdr:cNvPr>
        <xdr:cNvSpPr txBox="1">
          <a:spLocks noChangeArrowheads="1"/>
        </xdr:cNvSpPr>
      </xdr:nvSpPr>
      <xdr:spPr>
        <a:xfrm>
          <a:off x="2105025" y="10296525"/>
          <a:ext cx="3228975" cy="228600"/>
        </a:xfrm>
        <a:prstGeom prst="rect">
          <a:avLst/>
        </a:prstGeom>
        <a:noFill/>
        <a:ln w="9525" cmpd="sng">
          <a:noFill/>
        </a:ln>
      </xdr:spPr>
      <xdr:txBody>
        <a:bodyPr vertOverflow="clip" wrap="square"/>
        <a:p>
          <a:pPr algn="l">
            <a:defRPr/>
          </a:pPr>
          <a:r>
            <a:rPr lang="en-US" cap="none" sz="1200" b="1" i="0" u="sng" baseline="0">
              <a:solidFill>
                <a:srgbClr val="0000FF"/>
              </a:solidFill>
              <a:latin typeface="Arial"/>
              <a:ea typeface="Arial"/>
              <a:cs typeface="Arial"/>
            </a:rPr>
            <a:t>Manitoba Agriculture Farm Management</a:t>
          </a:r>
        </a:p>
      </xdr:txBody>
    </xdr:sp>
    <xdr:clientData/>
  </xdr:twoCellAnchor>
  <xdr:twoCellAnchor>
    <xdr:from>
      <xdr:col>3</xdr:col>
      <xdr:colOff>228600</xdr:colOff>
      <xdr:row>54</xdr:row>
      <xdr:rowOff>152400</xdr:rowOff>
    </xdr:from>
    <xdr:to>
      <xdr:col>7</xdr:col>
      <xdr:colOff>295275</xdr:colOff>
      <xdr:row>56</xdr:row>
      <xdr:rowOff>0</xdr:rowOff>
    </xdr:to>
    <xdr:sp>
      <xdr:nvSpPr>
        <xdr:cNvPr id="3" name="TextBox 7">
          <a:hlinkClick r:id="rId3"/>
        </xdr:cNvPr>
        <xdr:cNvSpPr txBox="1">
          <a:spLocks noChangeArrowheads="1"/>
        </xdr:cNvSpPr>
      </xdr:nvSpPr>
      <xdr:spPr>
        <a:xfrm>
          <a:off x="3067050" y="10496550"/>
          <a:ext cx="2924175" cy="219075"/>
        </a:xfrm>
        <a:prstGeom prst="rect">
          <a:avLst/>
        </a:prstGeom>
        <a:noFill/>
        <a:ln w="9525" cmpd="sng">
          <a:noFill/>
        </a:ln>
      </xdr:spPr>
      <xdr:txBody>
        <a:bodyPr vertOverflow="clip" wrap="square" anchor="ctr"/>
        <a:p>
          <a:pPr algn="l">
            <a:defRPr/>
          </a:pPr>
          <a:r>
            <a:rPr lang="en-US" cap="none" sz="1200" b="1" i="0" u="sng" baseline="0">
              <a:solidFill>
                <a:srgbClr val="0000FF"/>
              </a:solidFill>
              <a:latin typeface="Arial"/>
              <a:ea typeface="Arial"/>
              <a:cs typeface="Arial"/>
            </a:rPr>
            <a:t>Manitoba Agriculture GO Office </a:t>
          </a:r>
          <a:r>
            <a:rPr lang="en-US" cap="none" sz="1200" b="1" i="0" u="none" baseline="0">
              <a:solidFill>
                <a:srgbClr val="000000"/>
              </a:solidFill>
              <a:latin typeface="Arial"/>
              <a:ea typeface="Arial"/>
              <a:cs typeface="Arial"/>
            </a:rPr>
            <a:t>or: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ublishing.mbgov.ca/Staff%20File%20Sharing\Farm%20Business%20Management%20Team\FBMHT%20COP%20Budgets\COP%20Crops\2013\final%20version\cop_crop_productionwesternm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ebpublishing.mbgov.ca/en/agriculture/business-and-economics/financial-management/_vti_history/2560/Documents/DRAFT%20calculator_landrentalplanner%20margin%20over%20operating%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Summary"/>
      <sheetName val="Risk Analysis"/>
      <sheetName val="Land Planner"/>
      <sheetName val="Seed"/>
      <sheetName val="Fertilizer"/>
      <sheetName val="Chemicals"/>
      <sheetName val="Op. Cost Input"/>
      <sheetName val="Fixed Cost Input"/>
      <sheetName val="Assumption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Summary"/>
      <sheetName val="Input"/>
      <sheetName val="Cash - Revenue"/>
      <sheetName val="Cash - Operating Margin"/>
      <sheetName val="Cash - Land Value"/>
      <sheetName val="Flexible Cash"/>
      <sheetName val="Flexible Cash - Trigger "/>
      <sheetName val="Crop Share"/>
      <sheetName val="Historical Revenue &amp; Cos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roy.arnott@gov.mb.ca" TargetMode="External" /><Relationship Id="rId2" Type="http://schemas.openxmlformats.org/officeDocument/2006/relationships/hyperlink" Target="mailto:bob.gywer@gov.mb.ca" TargetMode="External" /><Relationship Id="rId3" Type="http://schemas.openxmlformats.org/officeDocument/2006/relationships/comments" Target="../comments4.xml" /><Relationship Id="rId4" Type="http://schemas.openxmlformats.org/officeDocument/2006/relationships/vmlDrawing" Target="../drawings/vmlDrawing3.vml" /><Relationship Id="rId5" Type="http://schemas.openxmlformats.org/officeDocument/2006/relationships/drawing" Target="../drawings/drawing2.x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roy.arnott@gov.mb.ca" TargetMode="External" /><Relationship Id="rId2" Type="http://schemas.openxmlformats.org/officeDocument/2006/relationships/hyperlink" Target="mailto:bob.gywer@gov.mb.ca" TargetMode="Externa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roy.arnott@gov.mb.ca" TargetMode="External" /><Relationship Id="rId2" Type="http://schemas.openxmlformats.org/officeDocument/2006/relationships/hyperlink" Target="mailto:bob.gywer@gov.mb.ca" TargetMode="Externa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roy.arnott@gov.mb.ca" TargetMode="External" /><Relationship Id="rId2" Type="http://schemas.openxmlformats.org/officeDocument/2006/relationships/hyperlink" Target="mailto:bob.gywer@gov.mb.ca" TargetMode="Externa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roy.arnott@gov.mb.ca" TargetMode="External" /><Relationship Id="rId2" Type="http://schemas.openxmlformats.org/officeDocument/2006/relationships/hyperlink" Target="mailto:bob.gywer@gov.mb.ca" TargetMode="Externa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pageSetUpPr fitToPage="1"/>
  </sheetPr>
  <dimension ref="A2:K46"/>
  <sheetViews>
    <sheetView showGridLines="0" tabSelected="1" zoomScalePageLayoutView="0" workbookViewId="0" topLeftCell="A1">
      <selection activeCell="A1" sqref="A1"/>
    </sheetView>
  </sheetViews>
  <sheetFormatPr defaultColWidth="11.421875" defaultRowHeight="12.75"/>
  <cols>
    <col min="1" max="1" width="3.28125" style="60" customWidth="1"/>
    <col min="2" max="10" width="12.28125" style="60" customWidth="1"/>
    <col min="11" max="16384" width="11.421875" style="60" customWidth="1"/>
  </cols>
  <sheetData>
    <row r="1" ht="15"/>
    <row r="2" spans="1:10" ht="15">
      <c r="A2" s="59"/>
      <c r="B2" s="59"/>
      <c r="C2" s="59"/>
      <c r="D2" s="59"/>
      <c r="E2" s="59"/>
      <c r="F2" s="59"/>
      <c r="G2" s="59"/>
      <c r="H2" s="59"/>
      <c r="I2" s="59"/>
      <c r="J2" s="59"/>
    </row>
    <row r="3" spans="1:10" s="63" customFormat="1" ht="27">
      <c r="A3" s="61" t="s">
        <v>12</v>
      </c>
      <c r="B3" s="62"/>
      <c r="C3" s="62"/>
      <c r="D3" s="62"/>
      <c r="E3" s="62"/>
      <c r="F3" s="62"/>
      <c r="G3" s="62"/>
      <c r="H3" s="62"/>
      <c r="I3" s="62"/>
      <c r="J3" s="62"/>
    </row>
    <row r="4" spans="1:10" s="63" customFormat="1" ht="15" customHeight="1">
      <c r="A4" s="61"/>
      <c r="B4" s="62"/>
      <c r="C4" s="62"/>
      <c r="D4" s="62"/>
      <c r="E4" s="62"/>
      <c r="F4" s="62"/>
      <c r="G4" s="62"/>
      <c r="H4" s="62"/>
      <c r="I4" s="62"/>
      <c r="J4" s="62"/>
    </row>
    <row r="5" spans="1:10" ht="20.25" customHeight="1">
      <c r="A5" s="382" t="s">
        <v>13</v>
      </c>
      <c r="B5" s="382"/>
      <c r="C5" s="382"/>
      <c r="D5" s="382"/>
      <c r="E5" s="382"/>
      <c r="F5" s="382"/>
      <c r="G5" s="382"/>
      <c r="H5" s="382"/>
      <c r="I5" s="382"/>
      <c r="J5" s="382"/>
    </row>
    <row r="6" spans="1:10" ht="26.25" customHeight="1">
      <c r="A6" s="383" t="str">
        <f>"Crop Land Purchase Values - "&amp;J11</f>
        <v>Crop Land Purchase Values - 2017</v>
      </c>
      <c r="B6" s="383"/>
      <c r="C6" s="383"/>
      <c r="D6" s="383"/>
      <c r="E6" s="383"/>
      <c r="F6" s="383"/>
      <c r="G6" s="383"/>
      <c r="H6" s="383"/>
      <c r="I6" s="383"/>
      <c r="J6" s="383"/>
    </row>
    <row r="7" spans="1:9" ht="20.25">
      <c r="A7" s="380"/>
      <c r="B7" s="380"/>
      <c r="C7" s="380"/>
      <c r="D7" s="380"/>
      <c r="E7" s="380"/>
      <c r="F7" s="380"/>
      <c r="G7" s="380"/>
      <c r="H7" s="380"/>
      <c r="I7" s="380"/>
    </row>
    <row r="10" ht="15.75" customHeight="1"/>
    <row r="11" spans="6:10" ht="18">
      <c r="F11" s="64"/>
      <c r="I11" s="64" t="s">
        <v>229</v>
      </c>
      <c r="J11" s="65">
        <v>2017</v>
      </c>
    </row>
    <row r="12" ht="15" customHeight="1"/>
    <row r="14" ht="18" customHeight="1"/>
    <row r="15" spans="2:10" ht="18" customHeight="1">
      <c r="B15" s="381" t="s">
        <v>228</v>
      </c>
      <c r="C15" s="381"/>
      <c r="D15" s="381"/>
      <c r="E15" s="381"/>
      <c r="F15" s="381"/>
      <c r="G15" s="381"/>
      <c r="H15" s="381"/>
      <c r="I15" s="381"/>
      <c r="J15" s="381"/>
    </row>
    <row r="16" spans="2:10" ht="18" customHeight="1">
      <c r="B16" s="381"/>
      <c r="C16" s="381"/>
      <c r="D16" s="381"/>
      <c r="E16" s="381"/>
      <c r="F16" s="381"/>
      <c r="G16" s="381"/>
      <c r="H16" s="381"/>
      <c r="I16" s="381"/>
      <c r="J16" s="381"/>
    </row>
    <row r="17" spans="2:10" ht="18" customHeight="1">
      <c r="B17" s="381"/>
      <c r="C17" s="381"/>
      <c r="D17" s="381"/>
      <c r="E17" s="381"/>
      <c r="F17" s="381"/>
      <c r="G17" s="381"/>
      <c r="H17" s="381"/>
      <c r="I17" s="381"/>
      <c r="J17" s="381"/>
    </row>
    <row r="18" spans="2:10" ht="18" customHeight="1">
      <c r="B18" s="381"/>
      <c r="C18" s="381"/>
      <c r="D18" s="381"/>
      <c r="E18" s="381"/>
      <c r="F18" s="381"/>
      <c r="G18" s="381"/>
      <c r="H18" s="381"/>
      <c r="I18" s="381"/>
      <c r="J18" s="381"/>
    </row>
    <row r="19" spans="2:10" ht="18" customHeight="1">
      <c r="B19" s="381"/>
      <c r="C19" s="381"/>
      <c r="D19" s="381"/>
      <c r="E19" s="381"/>
      <c r="F19" s="381"/>
      <c r="G19" s="381"/>
      <c r="H19" s="381"/>
      <c r="I19" s="381"/>
      <c r="J19" s="381"/>
    </row>
    <row r="20" spans="2:10" ht="18" customHeight="1">
      <c r="B20" s="381"/>
      <c r="C20" s="381"/>
      <c r="D20" s="381"/>
      <c r="E20" s="381"/>
      <c r="F20" s="381"/>
      <c r="G20" s="381"/>
      <c r="H20" s="381"/>
      <c r="I20" s="381"/>
      <c r="J20" s="381"/>
    </row>
    <row r="21" spans="2:10" ht="18" customHeight="1">
      <c r="B21" s="381"/>
      <c r="C21" s="381"/>
      <c r="D21" s="381"/>
      <c r="E21" s="381"/>
      <c r="F21" s="381"/>
      <c r="G21" s="381"/>
      <c r="H21" s="381"/>
      <c r="I21" s="381"/>
      <c r="J21" s="381"/>
    </row>
    <row r="22" spans="2:10" ht="18" customHeight="1">
      <c r="B22" s="381"/>
      <c r="C22" s="381"/>
      <c r="D22" s="381"/>
      <c r="E22" s="381"/>
      <c r="F22" s="381"/>
      <c r="G22" s="381"/>
      <c r="H22" s="381"/>
      <c r="I22" s="381"/>
      <c r="J22" s="381"/>
    </row>
    <row r="23" spans="2:10" ht="18" customHeight="1">
      <c r="B23" s="381"/>
      <c r="C23" s="381"/>
      <c r="D23" s="381"/>
      <c r="E23" s="381"/>
      <c r="F23" s="381"/>
      <c r="G23" s="381"/>
      <c r="H23" s="381"/>
      <c r="I23" s="381"/>
      <c r="J23" s="381"/>
    </row>
    <row r="24" spans="2:10" ht="18" customHeight="1">
      <c r="B24" s="66"/>
      <c r="C24" s="66"/>
      <c r="D24" s="66"/>
      <c r="E24" s="66"/>
      <c r="F24" s="66"/>
      <c r="G24" s="66"/>
      <c r="H24" s="66"/>
      <c r="I24" s="66"/>
      <c r="J24" s="67"/>
    </row>
    <row r="25" spans="2:11" s="97" customFormat="1" ht="15" customHeight="1">
      <c r="B25" s="381" t="s">
        <v>193</v>
      </c>
      <c r="C25" s="381"/>
      <c r="D25" s="381"/>
      <c r="E25" s="381"/>
      <c r="F25" s="381"/>
      <c r="G25" s="381"/>
      <c r="H25" s="381"/>
      <c r="I25" s="381"/>
      <c r="J25" s="381"/>
      <c r="K25" s="314"/>
    </row>
    <row r="26" spans="2:11" s="97" customFormat="1" ht="15" customHeight="1">
      <c r="B26" s="381"/>
      <c r="C26" s="381"/>
      <c r="D26" s="381"/>
      <c r="E26" s="381"/>
      <c r="F26" s="381"/>
      <c r="G26" s="381"/>
      <c r="H26" s="381"/>
      <c r="I26" s="381"/>
      <c r="J26" s="381"/>
      <c r="K26" s="314"/>
    </row>
    <row r="27" spans="2:11" s="97" customFormat="1" ht="15" customHeight="1">
      <c r="B27" s="381"/>
      <c r="C27" s="381"/>
      <c r="D27" s="381"/>
      <c r="E27" s="381"/>
      <c r="F27" s="381"/>
      <c r="G27" s="381"/>
      <c r="H27" s="381"/>
      <c r="I27" s="381"/>
      <c r="J27" s="381"/>
      <c r="K27" s="314"/>
    </row>
    <row r="28" spans="2:11" s="97" customFormat="1" ht="15" customHeight="1">
      <c r="B28" s="381"/>
      <c r="C28" s="381"/>
      <c r="D28" s="381"/>
      <c r="E28" s="381"/>
      <c r="F28" s="381"/>
      <c r="G28" s="381"/>
      <c r="H28" s="381"/>
      <c r="I28" s="381"/>
      <c r="J28" s="381"/>
      <c r="K28" s="314"/>
    </row>
    <row r="29" spans="2:11" s="97" customFormat="1" ht="15" customHeight="1">
      <c r="B29" s="381"/>
      <c r="C29" s="381"/>
      <c r="D29" s="381"/>
      <c r="E29" s="381"/>
      <c r="F29" s="381"/>
      <c r="G29" s="381"/>
      <c r="H29" s="381"/>
      <c r="I29" s="381"/>
      <c r="J29" s="381"/>
      <c r="K29" s="314"/>
    </row>
    <row r="30" spans="2:11" s="97" customFormat="1" ht="15" customHeight="1">
      <c r="B30" s="381"/>
      <c r="C30" s="381"/>
      <c r="D30" s="381"/>
      <c r="E30" s="381"/>
      <c r="F30" s="381"/>
      <c r="G30" s="381"/>
      <c r="H30" s="381"/>
      <c r="I30" s="381"/>
      <c r="J30" s="381"/>
      <c r="K30" s="314"/>
    </row>
    <row r="31" spans="2:10" ht="18" customHeight="1">
      <c r="B31" s="315" t="s">
        <v>191</v>
      </c>
      <c r="C31" s="315"/>
      <c r="D31" s="315"/>
      <c r="E31" s="315"/>
      <c r="F31" s="315"/>
      <c r="G31" s="315"/>
      <c r="H31" s="315"/>
      <c r="I31" s="315"/>
      <c r="J31" s="315"/>
    </row>
    <row r="32" spans="2:10" ht="20.25" customHeight="1">
      <c r="B32" s="316" t="s">
        <v>192</v>
      </c>
      <c r="C32" s="315"/>
      <c r="D32" s="315"/>
      <c r="E32" s="315"/>
      <c r="F32" s="315"/>
      <c r="G32" s="315"/>
      <c r="H32" s="315"/>
      <c r="I32" s="315"/>
      <c r="J32" s="315"/>
    </row>
    <row r="33" spans="2:10" ht="18" customHeight="1">
      <c r="B33" s="315"/>
      <c r="C33" s="314"/>
      <c r="D33" s="314"/>
      <c r="E33" s="314"/>
      <c r="F33" s="314"/>
      <c r="H33" s="315" t="s">
        <v>226</v>
      </c>
      <c r="I33" s="314"/>
      <c r="J33" s="314"/>
    </row>
    <row r="34" spans="2:9" s="97" customFormat="1" ht="15" customHeight="1">
      <c r="B34" s="315" t="s">
        <v>227</v>
      </c>
      <c r="C34" s="317"/>
      <c r="D34" s="317"/>
      <c r="E34" s="317"/>
      <c r="F34" s="317"/>
      <c r="G34" s="317"/>
      <c r="H34" s="317"/>
      <c r="I34" s="317"/>
    </row>
    <row r="35" spans="2:10" ht="18" customHeight="1">
      <c r="B35" s="66"/>
      <c r="C35" s="66"/>
      <c r="D35" s="66"/>
      <c r="E35" s="66"/>
      <c r="F35" s="66"/>
      <c r="G35" s="66"/>
      <c r="H35" s="66"/>
      <c r="I35" s="66"/>
      <c r="J35" s="68"/>
    </row>
    <row r="36" spans="2:10" ht="18" customHeight="1">
      <c r="B36" s="69"/>
      <c r="C36" s="69"/>
      <c r="D36" s="69"/>
      <c r="E36" s="69"/>
      <c r="F36" s="69"/>
      <c r="G36" s="69"/>
      <c r="H36" s="69"/>
      <c r="I36" s="69"/>
      <c r="J36" s="68"/>
    </row>
    <row r="37" spans="2:10" ht="18" customHeight="1">
      <c r="B37" s="379" t="s">
        <v>225</v>
      </c>
      <c r="C37" s="379"/>
      <c r="D37" s="379"/>
      <c r="E37" s="379"/>
      <c r="F37" s="379"/>
      <c r="G37" s="379"/>
      <c r="H37" s="379"/>
      <c r="I37" s="379"/>
      <c r="J37" s="379"/>
    </row>
    <row r="38" spans="2:10" ht="18" customHeight="1">
      <c r="B38" s="379"/>
      <c r="C38" s="379"/>
      <c r="D38" s="379"/>
      <c r="E38" s="379"/>
      <c r="F38" s="379"/>
      <c r="G38" s="379"/>
      <c r="H38" s="379"/>
      <c r="I38" s="379"/>
      <c r="J38" s="379"/>
    </row>
    <row r="39" spans="2:10" ht="18" customHeight="1">
      <c r="B39" s="379"/>
      <c r="C39" s="379"/>
      <c r="D39" s="379"/>
      <c r="E39" s="379"/>
      <c r="F39" s="379"/>
      <c r="G39" s="379"/>
      <c r="H39" s="379"/>
      <c r="I39" s="379"/>
      <c r="J39" s="379"/>
    </row>
    <row r="40" spans="2:10" ht="18" customHeight="1">
      <c r="B40" s="70"/>
      <c r="C40" s="70"/>
      <c r="D40" s="70"/>
      <c r="E40" s="70"/>
      <c r="F40" s="70"/>
      <c r="G40" s="70"/>
      <c r="H40" s="70"/>
      <c r="I40" s="70"/>
      <c r="J40" s="67"/>
    </row>
    <row r="41" spans="3:10" ht="18" customHeight="1">
      <c r="C41" s="70"/>
      <c r="D41" s="70"/>
      <c r="E41" s="70"/>
      <c r="F41" s="70"/>
      <c r="G41" s="70"/>
      <c r="H41" s="70"/>
      <c r="I41" s="70"/>
      <c r="J41" s="67"/>
    </row>
    <row r="42" spans="2:10" ht="18" customHeight="1">
      <c r="B42" s="70"/>
      <c r="C42" s="70"/>
      <c r="D42" s="70"/>
      <c r="E42" s="70"/>
      <c r="F42" s="70"/>
      <c r="G42" s="70"/>
      <c r="H42" s="70"/>
      <c r="I42" s="70"/>
      <c r="J42" s="67"/>
    </row>
    <row r="43" spans="2:9" ht="15" customHeight="1">
      <c r="B43" s="70"/>
      <c r="C43" s="70"/>
      <c r="D43" s="70"/>
      <c r="E43" s="70"/>
      <c r="F43" s="70"/>
      <c r="G43" s="70"/>
      <c r="H43" s="70"/>
      <c r="I43" s="70"/>
    </row>
    <row r="45" ht="15" customHeight="1"/>
    <row r="46" ht="15">
      <c r="H46" s="71"/>
    </row>
  </sheetData>
  <sheetProtection password="C6A6" sheet="1" objects="1" scenarios="1"/>
  <mergeCells count="6">
    <mergeCell ref="B37:J39"/>
    <mergeCell ref="A7:I7"/>
    <mergeCell ref="B25:J30"/>
    <mergeCell ref="B15:J23"/>
    <mergeCell ref="A5:J5"/>
    <mergeCell ref="A6:J6"/>
  </mergeCells>
  <printOptions/>
  <pageMargins left="0.8267716535433072" right="0.7480314960629921" top="0.8661417322834646" bottom="0.984251968503937" header="0.5118110236220472" footer="0.5118110236220472"/>
  <pageSetup fitToHeight="1" fitToWidth="1" horizontalDpi="300" verticalDpi="300" orientation="portrait" scale="78" r:id="rId3"/>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2:J46"/>
  <sheetViews>
    <sheetView showGridLines="0" workbookViewId="0" topLeftCell="A1">
      <selection activeCell="A1" sqref="A1"/>
    </sheetView>
  </sheetViews>
  <sheetFormatPr defaultColWidth="9.140625" defaultRowHeight="15" customHeight="1"/>
  <cols>
    <col min="1" max="1" width="4.8515625" style="76" customWidth="1"/>
    <col min="2" max="2" width="15.7109375" style="76" customWidth="1"/>
    <col min="3" max="3" width="10.8515625" style="76" bestFit="1" customWidth="1"/>
    <col min="4" max="4" width="13.140625" style="76" customWidth="1"/>
    <col min="5" max="5" width="10.00390625" style="76" customWidth="1"/>
    <col min="6" max="6" width="14.140625" style="76" customWidth="1"/>
    <col min="7" max="7" width="9.00390625" style="76" customWidth="1"/>
    <col min="8" max="8" width="14.28125" style="76" customWidth="1"/>
    <col min="9" max="9" width="4.8515625" style="76" customWidth="1"/>
    <col min="10" max="10" width="12.28125" style="76" customWidth="1"/>
    <col min="11" max="11" width="9.28125" style="76" customWidth="1"/>
    <col min="12" max="16384" width="9.140625" style="76" customWidth="1"/>
  </cols>
  <sheetData>
    <row r="2" spans="1:10" ht="17.25" customHeight="1">
      <c r="A2" s="81"/>
      <c r="B2" s="384" t="str">
        <f>"Summary Crop Land Purchase Values - "&amp;Intro!J11</f>
        <v>Summary Crop Land Purchase Values - 2017</v>
      </c>
      <c r="C2" s="385"/>
      <c r="D2" s="385"/>
      <c r="E2" s="385"/>
      <c r="F2" s="385"/>
      <c r="G2" s="385"/>
      <c r="H2" s="385"/>
      <c r="I2" s="385"/>
      <c r="J2" s="385"/>
    </row>
    <row r="3" spans="2:10" ht="8.25" customHeight="1">
      <c r="B3" s="82"/>
      <c r="C3" s="82"/>
      <c r="D3" s="82"/>
      <c r="E3" s="82"/>
      <c r="F3" s="82"/>
      <c r="G3" s="82"/>
      <c r="H3" s="82"/>
      <c r="I3" s="82"/>
      <c r="J3" s="82"/>
    </row>
    <row r="4" spans="1:10" s="360" customFormat="1" ht="15" customHeight="1">
      <c r="A4" s="386" t="s">
        <v>217</v>
      </c>
      <c r="B4" s="386"/>
      <c r="C4" s="386"/>
      <c r="D4" s="386"/>
      <c r="E4" s="386"/>
      <c r="F4" s="386"/>
      <c r="G4" s="386"/>
      <c r="H4" s="386"/>
      <c r="I4" s="386"/>
      <c r="J4" s="386"/>
    </row>
    <row r="5" spans="1:10" s="360" customFormat="1" ht="15" customHeight="1">
      <c r="A5" s="386"/>
      <c r="B5" s="386"/>
      <c r="C5" s="386"/>
      <c r="D5" s="386"/>
      <c r="E5" s="386"/>
      <c r="F5" s="386"/>
      <c r="G5" s="386"/>
      <c r="H5" s="386"/>
      <c r="I5" s="386"/>
      <c r="J5" s="386"/>
    </row>
    <row r="6" spans="2:6" s="80" customFormat="1" ht="7.5" customHeight="1">
      <c r="B6" s="79"/>
      <c r="C6" s="79"/>
      <c r="D6" s="79"/>
      <c r="E6" s="79"/>
      <c r="F6" s="84"/>
    </row>
    <row r="7" spans="1:8" s="80" customFormat="1" ht="15" customHeight="1">
      <c r="A7" s="117" t="s">
        <v>125</v>
      </c>
      <c r="C7" s="79"/>
      <c r="D7" s="79"/>
      <c r="E7" s="79"/>
      <c r="F7" s="84"/>
      <c r="H7" s="288" t="s">
        <v>130</v>
      </c>
    </row>
    <row r="8" spans="2:6" s="80" customFormat="1" ht="7.5" customHeight="1">
      <c r="B8" s="79"/>
      <c r="C8" s="79"/>
      <c r="D8" s="79"/>
      <c r="E8" s="79"/>
      <c r="F8" s="84"/>
    </row>
    <row r="9" spans="1:8" s="80" customFormat="1" ht="15" customHeight="1">
      <c r="A9" s="115" t="s">
        <v>27</v>
      </c>
      <c r="B9" s="388" t="str">
        <f>"Land Value Based on Your Farm Crop Basket: $"&amp;TEXT('Gross Revenue'!C28,"0.00")&amp;" Gross Revenue x "&amp;Input!F58&amp;"% Gross Revenue Share Fair Market Value Land Rental x "&amp;Input!F59&amp;" Land Rental to Land Payment Ratio at "&amp;Input!F53&amp;"% for "&amp;Input!F54&amp;" Years"</f>
        <v>Land Value Based on Your Farm Crop Basket: $388.40 Gross Revenue x 18% Gross Revenue Share Fair Market Value Land Rental x 3 Land Rental to Land Payment Ratio at 5.25% for 20 Years</v>
      </c>
      <c r="C9" s="388"/>
      <c r="D9" s="388"/>
      <c r="E9" s="388"/>
      <c r="F9" s="388"/>
      <c r="G9" s="388"/>
      <c r="H9" s="304">
        <f>'Gross Revenue'!C35</f>
        <v>2559.245354936887</v>
      </c>
    </row>
    <row r="10" spans="2:8" s="80" customFormat="1" ht="15" customHeight="1">
      <c r="B10" s="388"/>
      <c r="C10" s="388"/>
      <c r="D10" s="388"/>
      <c r="E10" s="388"/>
      <c r="F10" s="388"/>
      <c r="G10" s="388"/>
      <c r="H10" s="304"/>
    </row>
    <row r="11" spans="2:8" s="80" customFormat="1" ht="15" customHeight="1">
      <c r="B11" s="388"/>
      <c r="C11" s="388"/>
      <c r="D11" s="388"/>
      <c r="E11" s="388"/>
      <c r="F11" s="388"/>
      <c r="G11" s="388"/>
      <c r="H11" s="116"/>
    </row>
    <row r="12" spans="2:8" s="80" customFormat="1" ht="15" customHeight="1">
      <c r="B12" s="388"/>
      <c r="C12" s="388"/>
      <c r="D12" s="388"/>
      <c r="E12" s="388"/>
      <c r="F12" s="388"/>
      <c r="G12" s="388"/>
      <c r="H12" s="116"/>
    </row>
    <row r="13" spans="2:8" s="80" customFormat="1" ht="15" customHeight="1">
      <c r="B13" s="388" t="str">
        <f>"Land Value Based on "&amp;Input!C14&amp;" - "&amp;Input!B14&amp;" Regional Average Values: $"&amp;TEXT('Gross Revenue'!C56,"0.00")&amp;" Gross Revenue x "&amp;Input!F58&amp;"% Gross Revenue Share Fair Market Value Land Rental x "&amp;Input!F59&amp;" Land Rental to Land Payment Ratio at "&amp;Input!F53&amp;"% for "&amp;Input!F54&amp;" Years"</f>
        <v>Land Value Based on 10 year - Manitoba Regional Average Values: $369.15 Gross Revenue x 18% Gross Revenue Share Fair Market Value Land Rental x 3 Land Rental to Land Payment Ratio at 5.25% for 20 Years</v>
      </c>
      <c r="C13" s="388"/>
      <c r="D13" s="388"/>
      <c r="E13" s="388"/>
      <c r="F13" s="388"/>
      <c r="G13" s="388"/>
      <c r="H13" s="304">
        <f>'Gross Revenue'!C63</f>
        <v>2432.421109868846</v>
      </c>
    </row>
    <row r="14" spans="2:8" s="80" customFormat="1" ht="15" customHeight="1">
      <c r="B14" s="388"/>
      <c r="C14" s="388"/>
      <c r="D14" s="388"/>
      <c r="E14" s="388"/>
      <c r="F14" s="388"/>
      <c r="G14" s="388"/>
      <c r="H14" s="304"/>
    </row>
    <row r="15" spans="2:8" s="80" customFormat="1" ht="15" customHeight="1">
      <c r="B15" s="388"/>
      <c r="C15" s="388"/>
      <c r="D15" s="388"/>
      <c r="E15" s="388"/>
      <c r="F15" s="388"/>
      <c r="G15" s="388"/>
      <c r="H15" s="116"/>
    </row>
    <row r="16" spans="2:8" s="80" customFormat="1" ht="15" customHeight="1">
      <c r="B16" s="388"/>
      <c r="C16" s="388"/>
      <c r="D16" s="388"/>
      <c r="E16" s="388"/>
      <c r="F16" s="388"/>
      <c r="G16" s="388"/>
      <c r="H16" s="116"/>
    </row>
    <row r="17" spans="2:8" s="80" customFormat="1" ht="15" customHeight="1">
      <c r="B17" s="115"/>
      <c r="C17" s="130"/>
      <c r="D17" s="130"/>
      <c r="E17" s="130"/>
      <c r="F17" s="130"/>
      <c r="G17" s="130"/>
      <c r="H17" s="116"/>
    </row>
    <row r="18" spans="1:8" s="80" customFormat="1" ht="15" customHeight="1">
      <c r="A18" s="115" t="s">
        <v>28</v>
      </c>
      <c r="B18" s="388" t="str">
        <f>"Land Value Based on  $"&amp;TEXT(Input!F62,"0.00")&amp;" Fair Market Value Land Rental - $"&amp;TEXT(Input!F63,"0.00")&amp;" per acre Property Tax ÷ "&amp;Input!F64&amp;"% Long Term Investment Rate for 5 Years"</f>
        <v>Land Value Based on  $70.00 Fair Market Value Land Rental - $12.00 per acre Property Tax ÷ 2.25% Long Term Investment Rate for 5 Years</v>
      </c>
      <c r="C18" s="388"/>
      <c r="D18" s="388"/>
      <c r="E18" s="388"/>
      <c r="F18" s="388"/>
      <c r="G18" s="388"/>
      <c r="H18" s="304">
        <f>'FMV rental'!G15</f>
        <v>2577.777777777778</v>
      </c>
    </row>
    <row r="19" spans="2:7" s="80" customFormat="1" ht="15" customHeight="1">
      <c r="B19" s="388"/>
      <c r="C19" s="388"/>
      <c r="D19" s="388"/>
      <c r="E19" s="388"/>
      <c r="F19" s="388"/>
      <c r="G19" s="388"/>
    </row>
    <row r="20" spans="2:7" s="80" customFormat="1" ht="15" customHeight="1">
      <c r="B20" s="79"/>
      <c r="C20" s="130"/>
      <c r="D20" s="130"/>
      <c r="E20" s="130"/>
      <c r="F20" s="130"/>
      <c r="G20" s="130"/>
    </row>
    <row r="21" spans="1:8" s="80" customFormat="1" ht="15" customHeight="1">
      <c r="A21" s="115" t="s">
        <v>29</v>
      </c>
      <c r="B21" s="388" t="str">
        <f>"Land Value Based on Your Farm Crop Basket: $"&amp;TEXT('Marginal Return'!C19,"0.00")&amp;" Margin Over "&amp;Intro!J11&amp;" Operating Costs - $"&amp;'Marginal Return'!C21+'Marginal Return'!C22+TEXT('Marginal Return'!C23,"#,###.##")&amp;" Fixed Costs - $"&amp;TEXT('Marginal Return'!C24,"0.00")&amp;" Labour/Living = $"&amp;TEXT('Marginal Return'!C27,"0.00")&amp;" Available for Land Payments Per Acre"</f>
        <v>Land Value Based on Your Farm Crop Basket: $187.68 Margin Over 2017 Operating Costs - $62.96 Fixed Costs - $30.00 Labour/Living = $94.72 Available for Land Payments Per Acre</v>
      </c>
      <c r="C21" s="388"/>
      <c r="D21" s="388"/>
      <c r="E21" s="388"/>
      <c r="F21" s="388"/>
      <c r="G21" s="388"/>
      <c r="H21" s="304">
        <f>'Marginal Return'!D43</f>
        <v>3498.9969625247963</v>
      </c>
    </row>
    <row r="22" spans="2:7" s="80" customFormat="1" ht="15" customHeight="1">
      <c r="B22" s="388"/>
      <c r="C22" s="388"/>
      <c r="D22" s="388"/>
      <c r="E22" s="388"/>
      <c r="F22" s="388"/>
      <c r="G22" s="388"/>
    </row>
    <row r="23" spans="2:7" s="80" customFormat="1" ht="15" customHeight="1">
      <c r="B23" s="388"/>
      <c r="C23" s="388"/>
      <c r="D23" s="388"/>
      <c r="E23" s="388"/>
      <c r="F23" s="388"/>
      <c r="G23" s="388"/>
    </row>
    <row r="24" spans="2:7" s="80" customFormat="1" ht="15" customHeight="1">
      <c r="B24" s="130"/>
      <c r="C24" s="130"/>
      <c r="D24" s="130"/>
      <c r="E24" s="130"/>
      <c r="F24" s="130"/>
      <c r="G24" s="130"/>
    </row>
    <row r="25" spans="2:7" s="80" customFormat="1" ht="15" customHeight="1">
      <c r="B25" s="388" t="str">
        <f>"("&amp;Input!F68&amp;" Owned Acres, "&amp;Input!F69&amp;" Acres with Payments and "&amp;Input!F71&amp;" Acres for Planned Purchase)"</f>
        <v>(600 Owned Acres, 400 Acres with Payments and 160 Acres for Planned Purchase)</v>
      </c>
      <c r="C25" s="388"/>
      <c r="D25" s="388"/>
      <c r="E25" s="388"/>
      <c r="F25" s="388"/>
      <c r="G25" s="388"/>
    </row>
    <row r="26" spans="2:7" s="80" customFormat="1" ht="15" customHeight="1">
      <c r="B26" s="388"/>
      <c r="C26" s="388"/>
      <c r="D26" s="388"/>
      <c r="E26" s="388"/>
      <c r="F26" s="388"/>
      <c r="G26" s="388"/>
    </row>
    <row r="27" spans="2:7" s="80" customFormat="1" ht="15" customHeight="1">
      <c r="B27" s="79"/>
      <c r="C27" s="130"/>
      <c r="D27" s="130"/>
      <c r="E27" s="130"/>
      <c r="F27" s="130"/>
      <c r="G27" s="130"/>
    </row>
    <row r="28" spans="1:8" s="80" customFormat="1" ht="15" customHeight="1">
      <c r="A28" s="115" t="s">
        <v>144</v>
      </c>
      <c r="B28" s="80" t="s">
        <v>215</v>
      </c>
      <c r="C28" s="302"/>
      <c r="D28" s="302"/>
      <c r="E28" s="302"/>
      <c r="F28" s="302"/>
      <c r="G28" s="302"/>
      <c r="H28" s="304"/>
    </row>
    <row r="29" spans="2:8" s="80" customFormat="1" ht="15" customHeight="1">
      <c r="B29" s="302" t="str">
        <f>" $"&amp;TEXT('Revenue Ratio'!$F$21,"0.00")&amp;" Gross Revenue x "&amp;Input!F86&amp;" (Low Normal) Multiplier to Land Value"</f>
        <v> $388.40 Gross Revenue x 6 (Low Normal) Multiplier to Land Value</v>
      </c>
      <c r="C29" s="302"/>
      <c r="D29" s="302"/>
      <c r="E29" s="302"/>
      <c r="F29" s="302"/>
      <c r="G29" s="302"/>
      <c r="H29" s="304">
        <f>'Revenue Ratio'!E28</f>
        <v>2330.3999999999996</v>
      </c>
    </row>
    <row r="30" spans="2:8" s="80" customFormat="1" ht="15" customHeight="1">
      <c r="B30" s="302" t="str">
        <f>" $"&amp;TEXT('Revenue Ratio'!$F$21,"0.00")&amp;" Gross Revenue x "&amp;Input!F87&amp;" (High Normal) Multiplier to Land Value"</f>
        <v> $388.40 Gross Revenue x 8 (High Normal) Multiplier to Land Value</v>
      </c>
      <c r="C30" s="302"/>
      <c r="D30" s="302"/>
      <c r="E30" s="302"/>
      <c r="F30" s="302"/>
      <c r="G30" s="302"/>
      <c r="H30" s="304">
        <f>'Revenue Ratio'!G28</f>
        <v>3107.2</v>
      </c>
    </row>
    <row r="31" spans="2:8" s="80" customFormat="1" ht="15" customHeight="1">
      <c r="B31" s="130"/>
      <c r="C31" s="130"/>
      <c r="D31" s="130"/>
      <c r="E31" s="130"/>
      <c r="F31" s="130"/>
      <c r="G31" s="130"/>
      <c r="H31" s="304"/>
    </row>
    <row r="32" spans="2:8" s="80" customFormat="1" ht="15" customHeight="1">
      <c r="B32" s="389" t="str">
        <f>"Land Value Based on "&amp;Input!C14&amp;" - "&amp;Input!B14&amp;" Regional Average Values - Gross Revenue Ratio:"</f>
        <v>Land Value Based on 10 year - Manitoba Regional Average Values - Gross Revenue Ratio:</v>
      </c>
      <c r="C32" s="389"/>
      <c r="D32" s="389"/>
      <c r="E32" s="389"/>
      <c r="F32" s="389"/>
      <c r="G32" s="389"/>
      <c r="H32" s="304"/>
    </row>
    <row r="33" spans="2:8" s="80" customFormat="1" ht="15" customHeight="1">
      <c r="B33" s="389"/>
      <c r="C33" s="389"/>
      <c r="D33" s="389"/>
      <c r="E33" s="389"/>
      <c r="F33" s="389"/>
      <c r="G33" s="389"/>
      <c r="H33" s="304"/>
    </row>
    <row r="34" spans="2:8" s="80" customFormat="1" ht="15" customHeight="1">
      <c r="B34" s="302" t="str">
        <f>" $"&amp;TEXT('Revenue Ratio'!$F$56,"0.00")&amp;" Gross Revenue x "&amp;Input!F86&amp;" (Low Normal) Multiplier to Land Value"</f>
        <v> $369.15 Gross Revenue x 6 (Low Normal) Multiplier to Land Value</v>
      </c>
      <c r="C34" s="302"/>
      <c r="D34" s="302"/>
      <c r="E34" s="302"/>
      <c r="F34" s="302"/>
      <c r="G34" s="302"/>
      <c r="H34" s="304">
        <f>'Revenue Ratio'!E64</f>
        <v>2214.91626174238</v>
      </c>
    </row>
    <row r="35" spans="2:8" s="80" customFormat="1" ht="15" customHeight="1">
      <c r="B35" s="302" t="str">
        <f>" $"&amp;TEXT('Revenue Ratio'!$F$56,"0.00")&amp;" Gross Revenue x "&amp;Input!F87&amp;" (High Normal) Multiplier to Land Value"</f>
        <v> $369.15 Gross Revenue x 8 (High Normal) Multiplier to Land Value</v>
      </c>
      <c r="C35" s="302"/>
      <c r="D35" s="302"/>
      <c r="E35" s="302"/>
      <c r="F35" s="302"/>
      <c r="G35" s="302"/>
      <c r="H35" s="304">
        <f>'Revenue Ratio'!G64</f>
        <v>2953.2216823231734</v>
      </c>
    </row>
    <row r="36" spans="2:6" s="80" customFormat="1" ht="15" customHeight="1">
      <c r="B36" s="79"/>
      <c r="C36" s="79"/>
      <c r="D36" s="79"/>
      <c r="E36" s="79"/>
      <c r="F36" s="84"/>
    </row>
    <row r="37" spans="1:8" s="80" customFormat="1" ht="15" customHeight="1">
      <c r="A37" s="115" t="s">
        <v>216</v>
      </c>
      <c r="B37" s="388" t="str">
        <f>"Land Value Based on Your Farm Crop Basket: "&amp;Appreciation!D38&amp;"% Long Term Land Appreciation Value of $"&amp;TEXT(Appreciation!C28,"0.00")&amp;" Land Production Value Per Acre and "&amp;Input!F92&amp;"% Inflation Rate Over 25 Years"</f>
        <v>Land Value Based on Your Farm Crop Basket: 7.1% Long Term Land Appreciation Value of $94.72 Land Production Value Per Acre and 2.02% Inflation Rate Over 25 Years</v>
      </c>
      <c r="C37" s="388"/>
      <c r="D37" s="388"/>
      <c r="E37" s="388"/>
      <c r="F37" s="388"/>
      <c r="G37" s="388"/>
      <c r="H37" s="304">
        <f>Appreciation!D43</f>
        <v>4840.296665710302</v>
      </c>
    </row>
    <row r="38" spans="2:8" s="80" customFormat="1" ht="15" customHeight="1">
      <c r="B38" s="388"/>
      <c r="C38" s="388"/>
      <c r="D38" s="388"/>
      <c r="E38" s="388"/>
      <c r="F38" s="388"/>
      <c r="G38" s="388"/>
      <c r="H38" s="116"/>
    </row>
    <row r="39" spans="2:7" s="80" customFormat="1" ht="15" customHeight="1">
      <c r="B39" s="388"/>
      <c r="C39" s="388"/>
      <c r="D39" s="388"/>
      <c r="E39" s="388"/>
      <c r="F39" s="388"/>
      <c r="G39" s="388"/>
    </row>
    <row r="40" spans="3:10" ht="7.5" customHeight="1">
      <c r="C40" s="79"/>
      <c r="D40" s="79"/>
      <c r="E40" s="79"/>
      <c r="F40" s="84"/>
      <c r="G40" s="80"/>
      <c r="H40" s="85"/>
      <c r="I40" s="85"/>
      <c r="J40" s="85"/>
    </row>
    <row r="41" spans="1:10" ht="15" customHeight="1">
      <c r="A41" s="387" t="s">
        <v>16</v>
      </c>
      <c r="B41" s="387"/>
      <c r="C41" s="387"/>
      <c r="D41" s="387"/>
      <c r="E41" s="387"/>
      <c r="F41" s="387"/>
      <c r="G41" s="387"/>
      <c r="H41" s="387"/>
      <c r="I41" s="387"/>
      <c r="J41" s="387"/>
    </row>
    <row r="42" spans="1:10" ht="15" customHeight="1">
      <c r="A42" s="387"/>
      <c r="B42" s="387"/>
      <c r="C42" s="387"/>
      <c r="D42" s="387"/>
      <c r="E42" s="387"/>
      <c r="F42" s="387"/>
      <c r="G42" s="387"/>
      <c r="H42" s="387"/>
      <c r="I42" s="387"/>
      <c r="J42" s="387"/>
    </row>
    <row r="43" spans="1:10" ht="15" customHeight="1">
      <c r="A43" s="387"/>
      <c r="B43" s="387"/>
      <c r="C43" s="387"/>
      <c r="D43" s="387"/>
      <c r="E43" s="387"/>
      <c r="F43" s="387"/>
      <c r="G43" s="387"/>
      <c r="H43" s="387"/>
      <c r="I43" s="387"/>
      <c r="J43" s="387"/>
    </row>
    <row r="44" spans="3:7" ht="15" customHeight="1">
      <c r="C44" s="191"/>
      <c r="D44" s="191"/>
      <c r="E44" s="191"/>
      <c r="F44" s="191"/>
      <c r="G44" s="191"/>
    </row>
    <row r="45" spans="3:7" ht="15" customHeight="1">
      <c r="C45" s="191"/>
      <c r="D45" s="191"/>
      <c r="E45" s="191"/>
      <c r="F45" s="191"/>
      <c r="G45" s="191"/>
    </row>
    <row r="46" spans="3:7" ht="15" customHeight="1">
      <c r="C46" s="191"/>
      <c r="D46" s="191"/>
      <c r="E46" s="191"/>
      <c r="F46" s="191"/>
      <c r="G46" s="191"/>
    </row>
  </sheetData>
  <sheetProtection password="C6A6" sheet="1" objects="1" scenarios="1"/>
  <mergeCells count="10">
    <mergeCell ref="B2:J2"/>
    <mergeCell ref="A4:J5"/>
    <mergeCell ref="A41:J43"/>
    <mergeCell ref="B9:G12"/>
    <mergeCell ref="B13:G16"/>
    <mergeCell ref="B18:G19"/>
    <mergeCell ref="B21:G23"/>
    <mergeCell ref="B25:G26"/>
    <mergeCell ref="B37:G39"/>
    <mergeCell ref="B32:G33"/>
  </mergeCells>
  <printOptions horizontalCentered="1"/>
  <pageMargins left="0.7480314960629921" right="0.7480314960629921" top="0.7874015748031497" bottom="0.7480314960629921" header="0.5118110236220472" footer="0.5118110236220472"/>
  <pageSetup firstPageNumber="2" useFirstPageNumber="1" fitToHeight="1" fitToWidth="1" horizontalDpi="180" verticalDpi="180" orientation="portrait" scale="83" r:id="rId1"/>
  <headerFooter alignWithMargins="0">
    <oddHeader>&amp;L&amp;9Guidelines: Crop Land Purchase Values&amp;R&amp;P</oddHeader>
    <oddFooter>&amp;R&amp;9Manitoba Agriculture</oddFooter>
  </headerFooter>
</worksheet>
</file>

<file path=xl/worksheets/sheet3.xml><?xml version="1.0" encoding="utf-8"?>
<worksheet xmlns="http://schemas.openxmlformats.org/spreadsheetml/2006/main" xmlns:r="http://schemas.openxmlformats.org/officeDocument/2006/relationships">
  <sheetPr codeName="Sheet1"/>
  <dimension ref="A1:AO93"/>
  <sheetViews>
    <sheetView showGridLines="0" zoomScaleSheetLayoutView="50" workbookViewId="0" topLeftCell="A1">
      <selection activeCell="A1" sqref="A1"/>
    </sheetView>
  </sheetViews>
  <sheetFormatPr defaultColWidth="12.57421875" defaultRowHeight="12.75"/>
  <cols>
    <col min="1" max="1" width="3.421875" style="73" customWidth="1"/>
    <col min="2" max="2" width="26.57421875" style="73" customWidth="1"/>
    <col min="3" max="10" width="10.7109375" style="73" customWidth="1"/>
    <col min="11" max="14" width="12.57421875" style="73" customWidth="1"/>
    <col min="15" max="41" width="0" style="73" hidden="1" customWidth="1"/>
    <col min="42" max="16384" width="12.57421875" style="73" customWidth="1"/>
  </cols>
  <sheetData>
    <row r="1" spans="1:10" ht="15">
      <c r="A1" s="72"/>
      <c r="B1" s="72"/>
      <c r="C1" s="72"/>
      <c r="D1" s="72"/>
      <c r="E1" s="72"/>
      <c r="F1" s="72"/>
      <c r="G1" s="72"/>
      <c r="H1" s="72"/>
      <c r="I1" s="72"/>
      <c r="J1" s="72"/>
    </row>
    <row r="2" spans="1:10" ht="18">
      <c r="A2" s="393" t="s">
        <v>55</v>
      </c>
      <c r="B2" s="384"/>
      <c r="C2" s="384"/>
      <c r="D2" s="384"/>
      <c r="E2" s="384"/>
      <c r="F2" s="384"/>
      <c r="G2" s="384"/>
      <c r="H2" s="384"/>
      <c r="I2" s="384"/>
      <c r="J2" s="384"/>
    </row>
    <row r="3" spans="1:17" ht="15.75">
      <c r="A3" s="72"/>
      <c r="B3" s="72"/>
      <c r="C3" s="72"/>
      <c r="D3" s="72"/>
      <c r="E3" s="72"/>
      <c r="F3" s="72"/>
      <c r="G3" s="72"/>
      <c r="H3" s="72"/>
      <c r="I3" s="72"/>
      <c r="J3" s="72"/>
      <c r="L3" s="96"/>
      <c r="M3" s="60"/>
      <c r="N3" s="60"/>
      <c r="O3" s="60"/>
      <c r="P3" s="60"/>
      <c r="Q3" s="60"/>
    </row>
    <row r="4" spans="1:17" ht="15.75">
      <c r="A4" s="74" t="s">
        <v>14</v>
      </c>
      <c r="B4" s="72"/>
      <c r="C4" s="72"/>
      <c r="D4" s="72"/>
      <c r="E4" s="72"/>
      <c r="F4" s="72"/>
      <c r="G4" s="72"/>
      <c r="H4" s="72"/>
      <c r="I4" s="72"/>
      <c r="J4" s="72"/>
      <c r="L4" s="97"/>
      <c r="M4" s="60"/>
      <c r="N4" s="60"/>
      <c r="O4" s="60"/>
      <c r="P4" s="60"/>
      <c r="Q4" s="60"/>
    </row>
    <row r="5" spans="1:17" s="76" customFormat="1" ht="15" customHeight="1">
      <c r="A5" s="72" t="str">
        <f>"1."</f>
        <v>1.</v>
      </c>
      <c r="B5" s="60" t="str">
        <f>"Initial Crop Basket yields and prices are based on Crop Production Costs - "&amp;Intro!J11&amp;" Manitoba."</f>
        <v>Initial Crop Basket yields and prices are based on Crop Production Costs - 2017 Manitoba.</v>
      </c>
      <c r="C5" s="75"/>
      <c r="D5" s="75"/>
      <c r="E5" s="75"/>
      <c r="F5" s="75"/>
      <c r="G5" s="75"/>
      <c r="H5" s="75"/>
      <c r="I5" s="75"/>
      <c r="J5" s="75"/>
      <c r="L5" s="400"/>
      <c r="M5" s="400"/>
      <c r="N5" s="400"/>
      <c r="O5" s="400"/>
      <c r="P5" s="400"/>
      <c r="Q5" s="400"/>
    </row>
    <row r="6" spans="1:17" s="76" customFormat="1" ht="15" customHeight="1">
      <c r="A6" s="72" t="str">
        <f>"2."</f>
        <v>2.</v>
      </c>
      <c r="B6" s="60" t="s">
        <v>66</v>
      </c>
      <c r="C6" s="75"/>
      <c r="D6" s="75"/>
      <c r="E6" s="75"/>
      <c r="F6" s="75"/>
      <c r="G6" s="75"/>
      <c r="H6" s="75"/>
      <c r="I6" s="75"/>
      <c r="J6" s="75"/>
      <c r="L6" s="400"/>
      <c r="M6" s="400"/>
      <c r="N6" s="400"/>
      <c r="O6" s="400"/>
      <c r="P6" s="400"/>
      <c r="Q6" s="400"/>
    </row>
    <row r="7" spans="1:17" s="76" customFormat="1" ht="15" customHeight="1">
      <c r="A7" s="72" t="str">
        <f>"3."</f>
        <v>3.</v>
      </c>
      <c r="B7" s="60" t="str">
        <f>Intro!J11&amp;" Operating costs are based on Guidelines for Estimating Crop Production Costs - "&amp;Intro!J11&amp;" Manitoba"</f>
        <v>2017 Operating costs are based on Guidelines for Estimating Crop Production Costs - 2017 Manitoba</v>
      </c>
      <c r="C7" s="75"/>
      <c r="D7" s="75"/>
      <c r="E7" s="75"/>
      <c r="F7" s="75"/>
      <c r="G7" s="75"/>
      <c r="H7" s="75"/>
      <c r="I7" s="75"/>
      <c r="J7" s="75"/>
      <c r="L7" s="98"/>
      <c r="M7" s="98"/>
      <c r="N7" s="98"/>
      <c r="O7" s="98"/>
      <c r="P7" s="98"/>
      <c r="Q7" s="98"/>
    </row>
    <row r="8" spans="1:17" s="76" customFormat="1" ht="15" customHeight="1">
      <c r="A8" s="72"/>
      <c r="B8" s="60" t="s">
        <v>21</v>
      </c>
      <c r="C8" s="75"/>
      <c r="D8" s="75"/>
      <c r="E8" s="75"/>
      <c r="F8" s="75"/>
      <c r="G8" s="75"/>
      <c r="H8" s="75"/>
      <c r="I8" s="75"/>
      <c r="J8" s="75"/>
      <c r="L8" s="98"/>
      <c r="M8" s="98"/>
      <c r="N8" s="98"/>
      <c r="O8" s="98"/>
      <c r="P8" s="98"/>
      <c r="Q8" s="98"/>
    </row>
    <row r="9" spans="1:17" s="352" customFormat="1" ht="15.75">
      <c r="A9" s="351" t="str">
        <f>"4."</f>
        <v>4.</v>
      </c>
      <c r="B9" s="351" t="str">
        <f>"Operating Interest charges on operating costs are calculated at "&amp;F50&amp;"% for six months."</f>
        <v>Operating Interest charges on operating costs are calculated at 4.5% for six months.</v>
      </c>
      <c r="C9" s="351"/>
      <c r="D9" s="351"/>
      <c r="E9" s="351"/>
      <c r="F9" s="351"/>
      <c r="G9" s="351"/>
      <c r="H9" s="351"/>
      <c r="I9" s="351"/>
      <c r="J9" s="351"/>
      <c r="L9" s="96"/>
      <c r="M9" s="60"/>
      <c r="N9" s="60"/>
      <c r="O9" s="60"/>
      <c r="P9" s="60"/>
      <c r="Q9" s="60"/>
    </row>
    <row r="10" spans="2:17" ht="15">
      <c r="B10" s="72"/>
      <c r="C10" s="72"/>
      <c r="D10" s="72"/>
      <c r="E10" s="72"/>
      <c r="F10" s="72"/>
      <c r="G10" s="72"/>
      <c r="H10" s="72"/>
      <c r="I10" s="72"/>
      <c r="J10" s="72"/>
      <c r="L10" s="60"/>
      <c r="M10" s="60"/>
      <c r="N10" s="60"/>
      <c r="O10" s="60"/>
      <c r="P10" s="60"/>
      <c r="Q10" s="60"/>
    </row>
    <row r="11" spans="1:17" s="129" customFormat="1" ht="18" customHeight="1">
      <c r="A11" s="394" t="s">
        <v>38</v>
      </c>
      <c r="B11" s="395"/>
      <c r="C11" s="395"/>
      <c r="D11" s="397"/>
      <c r="E11" s="397"/>
      <c r="F11" s="397"/>
      <c r="G11" s="397"/>
      <c r="H11" s="397"/>
      <c r="I11" s="397"/>
      <c r="J11" s="398"/>
      <c r="K11" s="127"/>
      <c r="L11" s="128"/>
      <c r="M11" s="63"/>
      <c r="N11" s="63"/>
      <c r="O11" s="63"/>
      <c r="P11" s="63"/>
      <c r="Q11" s="63"/>
    </row>
    <row r="12" spans="1:17" s="3" customFormat="1" ht="33.75" customHeight="1">
      <c r="A12" s="99" t="s">
        <v>37</v>
      </c>
      <c r="B12" s="95"/>
      <c r="C12" s="134"/>
      <c r="D12" s="102" t="s">
        <v>0</v>
      </c>
      <c r="E12" s="93" t="s">
        <v>1</v>
      </c>
      <c r="F12" s="111" t="s">
        <v>6</v>
      </c>
      <c r="G12" s="94" t="s">
        <v>19</v>
      </c>
      <c r="H12" s="93" t="s">
        <v>11</v>
      </c>
      <c r="I12" s="93" t="s">
        <v>17</v>
      </c>
      <c r="J12" s="92" t="s">
        <v>18</v>
      </c>
      <c r="K12" s="4"/>
      <c r="L12" s="97"/>
      <c r="M12" s="60"/>
      <c r="N12" s="60"/>
      <c r="O12" s="60"/>
      <c r="P12" s="60"/>
      <c r="Q12" s="60"/>
    </row>
    <row r="13" spans="1:17" s="3" customFormat="1" ht="7.5" customHeight="1" thickBot="1">
      <c r="A13" s="103"/>
      <c r="B13" s="40"/>
      <c r="C13" s="303"/>
      <c r="D13" s="104"/>
      <c r="E13" s="104"/>
      <c r="F13" s="104"/>
      <c r="G13" s="112"/>
      <c r="H13" s="104"/>
      <c r="I13" s="104"/>
      <c r="J13" s="104"/>
      <c r="K13" s="4"/>
      <c r="L13" s="60"/>
      <c r="M13" s="60"/>
      <c r="N13" s="60"/>
      <c r="O13" s="60"/>
      <c r="P13" s="60"/>
      <c r="Q13" s="60"/>
    </row>
    <row r="14" spans="1:41" s="3" customFormat="1" ht="16.5" thickBot="1">
      <c r="A14" s="212"/>
      <c r="B14" s="348" t="s">
        <v>151</v>
      </c>
      <c r="C14" s="349" t="s">
        <v>148</v>
      </c>
      <c r="D14" s="287"/>
      <c r="E14" s="135"/>
      <c r="F14" s="135"/>
      <c r="G14" s="135"/>
      <c r="H14" s="135"/>
      <c r="I14" s="135"/>
      <c r="J14" s="135"/>
      <c r="K14" s="4"/>
      <c r="L14" s="399"/>
      <c r="M14" s="399"/>
      <c r="N14" s="399"/>
      <c r="O14" s="399"/>
      <c r="P14" s="399"/>
      <c r="Q14" s="399"/>
      <c r="X14" s="313" t="s">
        <v>151</v>
      </c>
      <c r="Y14" s="313" t="s">
        <v>152</v>
      </c>
      <c r="Z14" s="313" t="s">
        <v>153</v>
      </c>
      <c r="AA14" s="313" t="s">
        <v>154</v>
      </c>
      <c r="AB14" s="313" t="s">
        <v>155</v>
      </c>
      <c r="AC14" s="313" t="s">
        <v>156</v>
      </c>
      <c r="AD14" s="313" t="s">
        <v>157</v>
      </c>
      <c r="AE14" s="313" t="s">
        <v>158</v>
      </c>
      <c r="AF14" s="313" t="s">
        <v>159</v>
      </c>
      <c r="AG14" s="313" t="s">
        <v>160</v>
      </c>
      <c r="AH14" s="313" t="s">
        <v>161</v>
      </c>
      <c r="AI14" s="313" t="s">
        <v>162</v>
      </c>
      <c r="AJ14" s="313" t="s">
        <v>163</v>
      </c>
      <c r="AK14" s="313" t="s">
        <v>164</v>
      </c>
      <c r="AL14" s="313" t="s">
        <v>165</v>
      </c>
      <c r="AM14" s="313" t="s">
        <v>166</v>
      </c>
      <c r="AN14" s="313" t="s">
        <v>167</v>
      </c>
      <c r="AO14" s="313" t="s">
        <v>168</v>
      </c>
    </row>
    <row r="15" spans="1:17" s="3" customFormat="1" ht="7.5" customHeight="1">
      <c r="A15" s="212"/>
      <c r="B15" s="133"/>
      <c r="C15" s="132"/>
      <c r="D15" s="131"/>
      <c r="E15" s="131"/>
      <c r="F15" s="131"/>
      <c r="G15" s="131"/>
      <c r="H15" s="131"/>
      <c r="I15" s="131"/>
      <c r="J15" s="131"/>
      <c r="K15" s="4"/>
      <c r="L15" s="69"/>
      <c r="M15" s="69"/>
      <c r="N15" s="69"/>
      <c r="O15" s="69"/>
      <c r="P15" s="69"/>
      <c r="Q15" s="69"/>
    </row>
    <row r="16" spans="1:26" s="3" customFormat="1" ht="15.75" customHeight="1">
      <c r="A16" s="24" t="s">
        <v>35</v>
      </c>
      <c r="B16" s="133"/>
      <c r="C16" s="132"/>
      <c r="D16" s="131">
        <f>HLOOKUP($C$14,Data!$B$3:$D$10,5,FALSE)</f>
        <v>10.911649467926463</v>
      </c>
      <c r="E16" s="131">
        <f>HLOOKUP($C$14,Data!$B$3:$D$10,2,FALSE)</f>
        <v>6.90856862745098</v>
      </c>
      <c r="F16" s="131">
        <f>HLOOKUP($C$14,Data!$B$3:$D$10,3,FALSE)</f>
        <v>6.256000000000001</v>
      </c>
      <c r="G16" s="131">
        <f>HLOOKUP($C$14,Data!$B$3:$D$10,8,FALSE)</f>
        <v>10.924914261874985</v>
      </c>
      <c r="H16" s="131">
        <f>HLOOKUP($C$14,Data!$B$3:$D$10,6,FALSE)</f>
        <v>4.680575822294587</v>
      </c>
      <c r="I16" s="131">
        <f>HLOOKUP($C$14,Data!$B$3:$D$10,4,FALSE)</f>
        <v>3.6681610738253356</v>
      </c>
      <c r="J16" s="131">
        <f>HLOOKUP($C$14,Data!$B$3:$D$10,7,FALSE)</f>
        <v>2.9639138026494</v>
      </c>
      <c r="K16" s="4"/>
      <c r="L16" s="69"/>
      <c r="M16" s="69"/>
      <c r="N16" s="69"/>
      <c r="O16" s="69"/>
      <c r="P16" s="69"/>
      <c r="Q16" s="69"/>
      <c r="X16" s="3" t="s">
        <v>146</v>
      </c>
      <c r="Y16" s="3" t="s">
        <v>147</v>
      </c>
      <c r="Z16" s="3" t="s">
        <v>148</v>
      </c>
    </row>
    <row r="17" spans="1:17" s="3" customFormat="1" ht="7.5" customHeight="1">
      <c r="A17" s="24"/>
      <c r="B17" s="133"/>
      <c r="C17" s="132"/>
      <c r="D17" s="131"/>
      <c r="E17" s="131"/>
      <c r="F17" s="131"/>
      <c r="G17" s="131"/>
      <c r="H17" s="131"/>
      <c r="I17" s="131"/>
      <c r="J17" s="131"/>
      <c r="K17" s="4"/>
      <c r="L17" s="69"/>
      <c r="M17" s="69"/>
      <c r="N17" s="69"/>
      <c r="O17" s="69"/>
      <c r="P17" s="69"/>
      <c r="Q17" s="69"/>
    </row>
    <row r="18" spans="1:17" s="3" customFormat="1" ht="15.75" customHeight="1">
      <c r="A18" s="24" t="s">
        <v>36</v>
      </c>
      <c r="B18" s="133"/>
      <c r="C18" s="132"/>
      <c r="D18" s="320">
        <f>IF($C$14="5 year",HLOOKUP($B$14,Data!$B$13:$S$34,11,FALSE),IF($C$14="7 year",HLOOKUP($B$14,Data!$B$13:$S$34,12,FALSE),HLOOKUP($B$14,Data!$B$13:$S$34,13,FALSE)))</f>
        <v>36.1</v>
      </c>
      <c r="E18" s="320">
        <f>IF($C$14="5 year",HLOOKUP($B$14,Data!$B$13:$S$34,2,FALSE),IF($C$14="7 year",HLOOKUP($B$14,Data!$B$13:$S$34,3,FALSE),HLOOKUP($B$14,Data!$B$13:$S$34,4,FALSE)))</f>
        <v>48.4</v>
      </c>
      <c r="F18" s="320">
        <f>IF($C$14="5 year",HLOOKUP($B$14,Data!$B$13:$S$34,5,FALSE),IF($C$14="7 year",HLOOKUP($B$14,Data!$B$13:$S$34,6,FALSE),HLOOKUP($B$14,Data!$B$13:$S$34,7,FALSE)))</f>
        <v>64</v>
      </c>
      <c r="G18" s="320">
        <f>IF($C$14="5 year",HLOOKUP($B$14,Data!$B$13:$S$34,20,FALSE),IF($C$14="7 year",HLOOKUP($B$14,Data!$B$13:$S$34,21,FALSE),HLOOKUP($B$14,Data!$B$13:$S$34,22,FALSE)))</f>
        <v>34.6</v>
      </c>
      <c r="H18" s="320">
        <f>IF($C$14="5 year",HLOOKUP($B$14,Data!$B$13:$S$34,14,FALSE),IF($C$14="7 year",HLOOKUP($B$14,Data!$B$13:$S$34,15,FALSE),HLOOKUP($B$14,Data!$B$13:$S$34,16,FALSE)))</f>
        <v>113.4</v>
      </c>
      <c r="I18" s="320">
        <f>IF($C$14="5 year",HLOOKUP($B$14,Data!$B$13:$S$34,8,FALSE),IF($C$14="7 year",HLOOKUP($B$14,Data!$B$13:$S$34,9,FALSE),HLOOKUP($B$14,Data!$B$13:$S$34,10,FALSE)))</f>
        <v>62.9</v>
      </c>
      <c r="J18" s="320">
        <f>IF($C$14="5 year",HLOOKUP($B$14,Data!$B$13:$S$34,17,FALSE),IF($C$14="7 year",HLOOKUP($B$14,Data!$B$13:$S$34,18,FALSE),HLOOKUP($B$14,Data!$B$13:$S$34,19,FALSE)))</f>
        <v>91.4</v>
      </c>
      <c r="K18" s="4"/>
      <c r="L18" s="69"/>
      <c r="M18" s="69"/>
      <c r="N18" s="69"/>
      <c r="O18" s="69"/>
      <c r="P18" s="69"/>
      <c r="Q18" s="69"/>
    </row>
    <row r="19" spans="1:17" s="3" customFormat="1" ht="7.5" customHeight="1">
      <c r="A19" s="24"/>
      <c r="B19" s="133"/>
      <c r="C19" s="132"/>
      <c r="D19" s="131"/>
      <c r="E19" s="131"/>
      <c r="F19" s="131"/>
      <c r="G19" s="131"/>
      <c r="H19" s="131"/>
      <c r="I19" s="131"/>
      <c r="J19" s="131"/>
      <c r="K19" s="4"/>
      <c r="L19" s="69"/>
      <c r="M19" s="69"/>
      <c r="N19" s="69"/>
      <c r="O19" s="69"/>
      <c r="P19" s="69"/>
      <c r="Q19" s="69"/>
    </row>
    <row r="20" spans="1:17" s="3" customFormat="1" ht="15.75">
      <c r="A20" s="24" t="s">
        <v>5</v>
      </c>
      <c r="B20" s="87"/>
      <c r="C20" s="125">
        <f>SUM(D20:J20)</f>
        <v>1</v>
      </c>
      <c r="D20" s="31">
        <v>0.4</v>
      </c>
      <c r="E20" s="31">
        <v>0.4</v>
      </c>
      <c r="F20" s="37">
        <v>0.1</v>
      </c>
      <c r="G20" s="118">
        <v>0.1</v>
      </c>
      <c r="H20" s="31">
        <v>0</v>
      </c>
      <c r="I20" s="31">
        <v>0</v>
      </c>
      <c r="J20" s="37">
        <v>0</v>
      </c>
      <c r="K20" s="4"/>
      <c r="L20" s="96"/>
      <c r="M20" s="60"/>
      <c r="N20" s="60"/>
      <c r="O20" s="60"/>
      <c r="P20" s="60"/>
      <c r="Q20" s="60"/>
    </row>
    <row r="21" spans="1:17" s="3" customFormat="1" ht="15" customHeight="1">
      <c r="A21" s="88"/>
      <c r="B21" s="87"/>
      <c r="C21" s="125"/>
      <c r="D21" s="113"/>
      <c r="E21" s="31"/>
      <c r="F21" s="119">
        <f>IF(C20=100%,"","ERROR - CROP ROTATION  MUST TOTAL 100%")</f>
      </c>
      <c r="G21" s="118"/>
      <c r="H21" s="31"/>
      <c r="I21" s="31"/>
      <c r="J21" s="37"/>
      <c r="K21" s="4"/>
      <c r="L21" s="96"/>
      <c r="M21" s="60"/>
      <c r="N21" s="60"/>
      <c r="O21" s="60"/>
      <c r="P21" s="60"/>
      <c r="Q21" s="60"/>
    </row>
    <row r="22" spans="1:17" s="3" customFormat="1" ht="7.5" customHeight="1">
      <c r="A22" s="41"/>
      <c r="B22" s="90"/>
      <c r="C22" s="105"/>
      <c r="D22" s="48"/>
      <c r="E22" s="48"/>
      <c r="F22" s="48"/>
      <c r="G22" s="48"/>
      <c r="H22" s="48"/>
      <c r="I22" s="48"/>
      <c r="J22" s="48"/>
      <c r="K22" s="4"/>
      <c r="L22" s="96"/>
      <c r="M22" s="60"/>
      <c r="N22" s="60"/>
      <c r="O22" s="60"/>
      <c r="P22" s="60"/>
      <c r="Q22" s="60"/>
    </row>
    <row r="23" spans="1:4" ht="15">
      <c r="A23" s="301"/>
      <c r="B23" s="301"/>
      <c r="C23" s="301"/>
      <c r="D23" s="301"/>
    </row>
    <row r="24" spans="1:17" s="3" customFormat="1" ht="18" customHeight="1">
      <c r="A24" s="394" t="str">
        <f>Intro!J11&amp;" Crop Basket on Your Farm (Average Yield &amp; Projected Crop Prices)"</f>
        <v>2017 Crop Basket on Your Farm (Average Yield &amp; Projected Crop Prices)</v>
      </c>
      <c r="B24" s="395"/>
      <c r="C24" s="395"/>
      <c r="D24" s="395"/>
      <c r="E24" s="395"/>
      <c r="F24" s="395"/>
      <c r="G24" s="395"/>
      <c r="H24" s="395"/>
      <c r="I24" s="395"/>
      <c r="J24" s="396"/>
      <c r="K24" s="1"/>
      <c r="L24" s="402"/>
      <c r="M24" s="402"/>
      <c r="N24" s="402"/>
      <c r="O24" s="60"/>
      <c r="P24" s="60"/>
      <c r="Q24" s="60"/>
    </row>
    <row r="25" spans="1:17" s="3" customFormat="1" ht="33.75" customHeight="1">
      <c r="A25" s="99" t="s">
        <v>33</v>
      </c>
      <c r="B25" s="91"/>
      <c r="C25" s="28" t="s">
        <v>8</v>
      </c>
      <c r="D25" s="29" t="str">
        <f aca="true" t="shared" si="0" ref="D25:J25">D12</f>
        <v>Canola</v>
      </c>
      <c r="E25" s="29" t="str">
        <f t="shared" si="0"/>
        <v>Wheat</v>
      </c>
      <c r="F25" s="29" t="str">
        <f t="shared" si="0"/>
        <v>Winter Wheat</v>
      </c>
      <c r="G25" s="33" t="str">
        <f t="shared" si="0"/>
        <v>Soy-beans</v>
      </c>
      <c r="H25" s="29" t="str">
        <f t="shared" si="0"/>
        <v>Corn</v>
      </c>
      <c r="I25" s="29" t="str">
        <f t="shared" si="0"/>
        <v>Barley</v>
      </c>
      <c r="J25" s="35" t="str">
        <f t="shared" si="0"/>
        <v>Oats</v>
      </c>
      <c r="K25" s="4"/>
      <c r="L25" s="402"/>
      <c r="M25" s="402"/>
      <c r="N25" s="402"/>
      <c r="O25" s="60"/>
      <c r="P25" s="60"/>
      <c r="Q25" s="60"/>
    </row>
    <row r="26" spans="1:17" s="3" customFormat="1" ht="7.5" customHeight="1">
      <c r="A26" s="103"/>
      <c r="B26" s="40"/>
      <c r="C26" s="124"/>
      <c r="D26" s="23"/>
      <c r="E26" s="23"/>
      <c r="F26" s="104"/>
      <c r="G26" s="43"/>
      <c r="H26" s="23"/>
      <c r="I26" s="23"/>
      <c r="J26" s="104"/>
      <c r="K26" s="4"/>
      <c r="L26" s="60"/>
      <c r="M26" s="60"/>
      <c r="N26" s="60"/>
      <c r="O26" s="60"/>
      <c r="P26" s="60"/>
      <c r="Q26" s="60"/>
    </row>
    <row r="27" spans="1:17" s="3" customFormat="1" ht="15.75">
      <c r="A27" s="24" t="s">
        <v>212</v>
      </c>
      <c r="B27" s="100"/>
      <c r="C27" s="124"/>
      <c r="D27" s="356">
        <v>10.75</v>
      </c>
      <c r="E27" s="356">
        <v>6.25</v>
      </c>
      <c r="F27" s="357">
        <v>5</v>
      </c>
      <c r="G27" s="356">
        <v>11.5</v>
      </c>
      <c r="H27" s="356">
        <v>4.25</v>
      </c>
      <c r="I27" s="356">
        <v>3.5</v>
      </c>
      <c r="J27" s="357">
        <v>3.2</v>
      </c>
      <c r="K27" s="4"/>
      <c r="L27" s="96"/>
      <c r="M27" s="60"/>
      <c r="N27" s="60"/>
      <c r="O27" s="60"/>
      <c r="P27" s="60"/>
      <c r="Q27" s="60"/>
    </row>
    <row r="28" spans="1:17" s="3" customFormat="1" ht="7.5" customHeight="1">
      <c r="A28" s="24"/>
      <c r="B28" s="100"/>
      <c r="C28" s="124"/>
      <c r="D28" s="44"/>
      <c r="E28" s="44"/>
      <c r="F28" s="46"/>
      <c r="G28" s="45"/>
      <c r="H28" s="44"/>
      <c r="I28" s="44"/>
      <c r="J28" s="46"/>
      <c r="K28" s="4"/>
      <c r="L28" s="399"/>
      <c r="M28" s="401"/>
      <c r="N28" s="401"/>
      <c r="O28" s="401"/>
      <c r="P28" s="401"/>
      <c r="Q28" s="401"/>
    </row>
    <row r="29" spans="1:17" s="3" customFormat="1" ht="15.75">
      <c r="A29" s="24" t="s">
        <v>10</v>
      </c>
      <c r="B29" s="100"/>
      <c r="C29" s="124"/>
      <c r="D29" s="363">
        <v>40</v>
      </c>
      <c r="E29" s="363">
        <v>55</v>
      </c>
      <c r="F29" s="364">
        <v>75</v>
      </c>
      <c r="G29" s="365">
        <v>36</v>
      </c>
      <c r="H29" s="363">
        <v>120</v>
      </c>
      <c r="I29" s="363">
        <v>80</v>
      </c>
      <c r="J29" s="364">
        <v>100</v>
      </c>
      <c r="K29" s="4"/>
      <c r="L29" s="399"/>
      <c r="M29" s="401"/>
      <c r="N29" s="401"/>
      <c r="O29" s="401"/>
      <c r="P29" s="401"/>
      <c r="Q29" s="401"/>
    </row>
    <row r="30" spans="1:17" s="3" customFormat="1" ht="7.5" customHeight="1">
      <c r="A30" s="88"/>
      <c r="B30" s="89"/>
      <c r="C30" s="124"/>
      <c r="D30" s="30"/>
      <c r="E30" s="30"/>
      <c r="F30" s="36"/>
      <c r="G30" s="30"/>
      <c r="H30" s="30"/>
      <c r="I30" s="30"/>
      <c r="J30" s="36"/>
      <c r="K30" s="4"/>
      <c r="L30" s="60"/>
      <c r="M30" s="60"/>
      <c r="N30" s="60"/>
      <c r="O30" s="60"/>
      <c r="P30" s="60"/>
      <c r="Q30" s="60"/>
    </row>
    <row r="31" spans="1:17" s="3" customFormat="1" ht="15.75">
      <c r="A31" s="24" t="s">
        <v>5</v>
      </c>
      <c r="B31" s="122"/>
      <c r="C31" s="21">
        <f>SUM(D31:J31)</f>
        <v>1</v>
      </c>
      <c r="D31" s="31">
        <v>0.4</v>
      </c>
      <c r="E31" s="31">
        <v>0.4</v>
      </c>
      <c r="F31" s="37">
        <v>0.1</v>
      </c>
      <c r="G31" s="34">
        <v>0.1</v>
      </c>
      <c r="H31" s="31">
        <v>0</v>
      </c>
      <c r="I31" s="31">
        <v>0</v>
      </c>
      <c r="J31" s="37">
        <v>0</v>
      </c>
      <c r="K31" s="4"/>
      <c r="L31" s="96"/>
      <c r="M31" s="60"/>
      <c r="N31" s="60"/>
      <c r="O31" s="60"/>
      <c r="P31" s="60"/>
      <c r="Q31" s="60"/>
    </row>
    <row r="32" spans="1:17" s="3" customFormat="1" ht="15" customHeight="1">
      <c r="A32" s="41"/>
      <c r="B32" s="123"/>
      <c r="C32" s="47"/>
      <c r="D32" s="47"/>
      <c r="E32" s="47"/>
      <c r="F32" s="114">
        <f>IF(C31=100%,"","ERROR - CROP ROTATION  MUST TOTAL 100%")</f>
      </c>
      <c r="G32" s="47"/>
      <c r="H32" s="47"/>
      <c r="I32" s="47"/>
      <c r="J32" s="48"/>
      <c r="K32" s="4"/>
      <c r="L32" s="96"/>
      <c r="M32" s="60"/>
      <c r="N32" s="60"/>
      <c r="O32" s="60"/>
      <c r="P32" s="60"/>
      <c r="Q32" s="60"/>
    </row>
    <row r="33" spans="1:17" s="3" customFormat="1" ht="15" customHeight="1">
      <c r="A33" s="90"/>
      <c r="B33" s="90"/>
      <c r="C33" s="203"/>
      <c r="D33" s="203"/>
      <c r="E33" s="203"/>
      <c r="F33" s="204"/>
      <c r="G33" s="203"/>
      <c r="H33" s="203"/>
      <c r="I33" s="203"/>
      <c r="J33" s="203"/>
      <c r="K33" s="4"/>
      <c r="L33" s="96"/>
      <c r="M33" s="60"/>
      <c r="N33" s="60"/>
      <c r="O33" s="60"/>
      <c r="P33" s="60"/>
      <c r="Q33" s="60"/>
    </row>
    <row r="34" spans="1:12" s="80" customFormat="1" ht="18" customHeight="1">
      <c r="A34" s="390" t="str">
        <f>Intro!J11&amp;" Crop Operating Costs (Dollars Per Acre)"</f>
        <v>2017 Crop Operating Costs (Dollars Per Acre)</v>
      </c>
      <c r="B34" s="391"/>
      <c r="C34" s="391"/>
      <c r="D34" s="391"/>
      <c r="E34" s="391"/>
      <c r="F34" s="391"/>
      <c r="G34" s="391"/>
      <c r="H34" s="391"/>
      <c r="I34" s="391"/>
      <c r="J34" s="392"/>
      <c r="L34" s="96"/>
    </row>
    <row r="35" spans="1:12" s="80" customFormat="1" ht="31.5">
      <c r="A35" s="194"/>
      <c r="B35" s="95"/>
      <c r="C35" s="209"/>
      <c r="D35" s="93" t="str">
        <f>D25</f>
        <v>Canola</v>
      </c>
      <c r="E35" s="93" t="str">
        <f aca="true" t="shared" si="1" ref="E35:J35">E25</f>
        <v>Wheat</v>
      </c>
      <c r="F35" s="93" t="str">
        <f t="shared" si="1"/>
        <v>Winter Wheat</v>
      </c>
      <c r="G35" s="93" t="str">
        <f t="shared" si="1"/>
        <v>Soy-beans</v>
      </c>
      <c r="H35" s="93" t="str">
        <f t="shared" si="1"/>
        <v>Corn</v>
      </c>
      <c r="I35" s="93" t="str">
        <f t="shared" si="1"/>
        <v>Barley</v>
      </c>
      <c r="J35" s="92" t="str">
        <f t="shared" si="1"/>
        <v>Oats</v>
      </c>
      <c r="L35" s="97"/>
    </row>
    <row r="36" spans="1:26" s="80" customFormat="1" ht="15.75">
      <c r="A36" s="195" t="s">
        <v>69</v>
      </c>
      <c r="B36" s="206"/>
      <c r="C36" s="205"/>
      <c r="D36" s="196">
        <v>60</v>
      </c>
      <c r="E36" s="196">
        <v>22</v>
      </c>
      <c r="F36" s="196">
        <v>20</v>
      </c>
      <c r="G36" s="196">
        <v>95.1</v>
      </c>
      <c r="H36" s="196">
        <v>81.2</v>
      </c>
      <c r="I36" s="196">
        <v>15</v>
      </c>
      <c r="J36" s="196">
        <v>17.5</v>
      </c>
      <c r="L36" s="60"/>
      <c r="Z36" s="80" t="s">
        <v>70</v>
      </c>
    </row>
    <row r="37" spans="1:26" s="80" customFormat="1" ht="15.75">
      <c r="A37" s="120" t="s">
        <v>71</v>
      </c>
      <c r="B37" s="207"/>
      <c r="C37" s="205"/>
      <c r="D37" s="197">
        <v>69.32</v>
      </c>
      <c r="E37" s="197">
        <v>52.38</v>
      </c>
      <c r="F37" s="197">
        <v>56.72</v>
      </c>
      <c r="G37" s="197">
        <v>13.25</v>
      </c>
      <c r="H37" s="197">
        <v>81.07</v>
      </c>
      <c r="I37" s="197">
        <v>45.82</v>
      </c>
      <c r="J37" s="197">
        <v>41.47</v>
      </c>
      <c r="L37" s="60"/>
      <c r="Z37" s="80" t="s">
        <v>72</v>
      </c>
    </row>
    <row r="38" spans="1:10" s="80" customFormat="1" ht="15.75">
      <c r="A38" s="24" t="s">
        <v>73</v>
      </c>
      <c r="B38" s="207"/>
      <c r="C38" s="205"/>
      <c r="D38" s="197">
        <v>13.81</v>
      </c>
      <c r="E38" s="197">
        <v>26.71</v>
      </c>
      <c r="F38" s="197">
        <v>13.08</v>
      </c>
      <c r="G38" s="197">
        <v>14.67</v>
      </c>
      <c r="H38" s="197">
        <v>18.67</v>
      </c>
      <c r="I38" s="197">
        <v>23.75</v>
      </c>
      <c r="J38" s="197">
        <v>8.75</v>
      </c>
    </row>
    <row r="39" spans="1:10" s="80" customFormat="1" ht="15.75">
      <c r="A39" s="24" t="s">
        <v>74</v>
      </c>
      <c r="B39" s="207"/>
      <c r="C39" s="205"/>
      <c r="D39" s="197">
        <v>34</v>
      </c>
      <c r="E39" s="197">
        <v>21.71</v>
      </c>
      <c r="F39" s="197">
        <v>21.71</v>
      </c>
      <c r="G39" s="197">
        <v>0</v>
      </c>
      <c r="H39" s="197">
        <v>0</v>
      </c>
      <c r="I39" s="197">
        <v>18.9</v>
      </c>
      <c r="J39" s="197">
        <v>10.88</v>
      </c>
    </row>
    <row r="40" spans="1:10" s="80" customFormat="1" ht="15.75">
      <c r="A40" s="24" t="s">
        <v>75</v>
      </c>
      <c r="B40" s="207"/>
      <c r="C40" s="205"/>
      <c r="D40" s="197">
        <v>4.32</v>
      </c>
      <c r="E40" s="197">
        <v>0</v>
      </c>
      <c r="F40" s="197">
        <v>0</v>
      </c>
      <c r="G40" s="197">
        <v>0</v>
      </c>
      <c r="H40" s="197">
        <v>0</v>
      </c>
      <c r="I40" s="197">
        <v>0</v>
      </c>
      <c r="J40" s="197">
        <v>0</v>
      </c>
    </row>
    <row r="41" spans="1:10" s="80" customFormat="1" ht="15.75">
      <c r="A41" s="120" t="s">
        <v>76</v>
      </c>
      <c r="B41" s="207"/>
      <c r="C41" s="205"/>
      <c r="D41" s="197">
        <v>18.7</v>
      </c>
      <c r="E41" s="197">
        <v>20.05</v>
      </c>
      <c r="F41" s="197">
        <v>21.71</v>
      </c>
      <c r="G41" s="197">
        <v>17.34</v>
      </c>
      <c r="H41" s="197">
        <v>24.07</v>
      </c>
      <c r="I41" s="197">
        <v>21.67</v>
      </c>
      <c r="J41" s="197">
        <v>23.33</v>
      </c>
    </row>
    <row r="42" spans="1:10" s="80" customFormat="1" ht="15.75">
      <c r="A42" s="24" t="s">
        <v>77</v>
      </c>
      <c r="B42" s="207"/>
      <c r="C42" s="205"/>
      <c r="D42" s="197">
        <v>10</v>
      </c>
      <c r="E42" s="197">
        <v>10</v>
      </c>
      <c r="F42" s="197">
        <v>10</v>
      </c>
      <c r="G42" s="197">
        <v>10</v>
      </c>
      <c r="H42" s="197">
        <v>10</v>
      </c>
      <c r="I42" s="197">
        <v>10</v>
      </c>
      <c r="J42" s="197">
        <v>10</v>
      </c>
    </row>
    <row r="43" spans="1:10" s="80" customFormat="1" ht="15.75">
      <c r="A43" s="120" t="s">
        <v>78</v>
      </c>
      <c r="B43" s="207"/>
      <c r="C43" s="205"/>
      <c r="D43" s="197">
        <v>14.95</v>
      </c>
      <c r="E43" s="197">
        <v>11.87</v>
      </c>
      <c r="F43" s="197">
        <v>12</v>
      </c>
      <c r="G43" s="197">
        <v>20.66</v>
      </c>
      <c r="H43" s="197">
        <v>31.5</v>
      </c>
      <c r="I43" s="197">
        <v>14.02</v>
      </c>
      <c r="J43" s="197">
        <v>12.86</v>
      </c>
    </row>
    <row r="44" spans="1:10" s="80" customFormat="1" ht="15.75">
      <c r="A44" s="24" t="s">
        <v>79</v>
      </c>
      <c r="B44" s="207"/>
      <c r="C44" s="205"/>
      <c r="D44" s="197">
        <v>7.75</v>
      </c>
      <c r="E44" s="197">
        <v>7.75</v>
      </c>
      <c r="F44" s="197">
        <v>7.75</v>
      </c>
      <c r="G44" s="197">
        <v>7.75</v>
      </c>
      <c r="H44" s="197">
        <v>7.75</v>
      </c>
      <c r="I44" s="197">
        <v>7.75</v>
      </c>
      <c r="J44" s="197">
        <v>7.75</v>
      </c>
    </row>
    <row r="45" spans="1:10" s="80" customFormat="1" ht="15.75">
      <c r="A45" s="24" t="s">
        <v>80</v>
      </c>
      <c r="B45" s="207"/>
      <c r="C45" s="205"/>
      <c r="D45" s="197">
        <v>0</v>
      </c>
      <c r="E45" s="197">
        <v>0</v>
      </c>
      <c r="F45" s="197">
        <v>0</v>
      </c>
      <c r="G45" s="197">
        <v>0</v>
      </c>
      <c r="H45" s="197">
        <v>35</v>
      </c>
      <c r="I45" s="197">
        <v>0</v>
      </c>
      <c r="J45" s="197">
        <v>0</v>
      </c>
    </row>
    <row r="46" spans="1:10" s="80" customFormat="1" ht="15.75">
      <c r="A46" s="47" t="s">
        <v>81</v>
      </c>
      <c r="B46" s="208"/>
      <c r="C46" s="205"/>
      <c r="D46" s="198">
        <f aca="true" t="shared" si="2" ref="D46:J46">ROUND(((D36+D37+D38+D39+D40+D41+D42+D43+D44+D45)/2)*$F$50/100,2)</f>
        <v>5.24</v>
      </c>
      <c r="E46" s="198">
        <f t="shared" si="2"/>
        <v>3.88</v>
      </c>
      <c r="F46" s="198">
        <f t="shared" si="2"/>
        <v>3.67</v>
      </c>
      <c r="G46" s="198">
        <f t="shared" si="2"/>
        <v>4.02</v>
      </c>
      <c r="H46" s="198">
        <f t="shared" si="2"/>
        <v>6.51</v>
      </c>
      <c r="I46" s="198">
        <f t="shared" si="2"/>
        <v>3.53</v>
      </c>
      <c r="J46" s="198">
        <f t="shared" si="2"/>
        <v>2.98</v>
      </c>
    </row>
    <row r="47" spans="1:10" s="202" customFormat="1" ht="18" customHeight="1">
      <c r="A47" s="199" t="s">
        <v>30</v>
      </c>
      <c r="B47" s="210"/>
      <c r="C47" s="200"/>
      <c r="D47" s="201">
        <f>SUM(D36:D46)</f>
        <v>238.08999999999997</v>
      </c>
      <c r="E47" s="201">
        <f aca="true" t="shared" si="3" ref="E47:J47">SUM(E36:E46)</f>
        <v>176.35000000000002</v>
      </c>
      <c r="F47" s="201">
        <f t="shared" si="3"/>
        <v>166.64</v>
      </c>
      <c r="G47" s="201">
        <f t="shared" si="3"/>
        <v>182.79</v>
      </c>
      <c r="H47" s="201">
        <f t="shared" si="3"/>
        <v>295.77</v>
      </c>
      <c r="I47" s="201">
        <f t="shared" si="3"/>
        <v>160.44</v>
      </c>
      <c r="J47" s="201">
        <f t="shared" si="3"/>
        <v>135.51999999999998</v>
      </c>
    </row>
    <row r="48" spans="1:17" s="3" customFormat="1" ht="15.75" customHeight="1">
      <c r="A48" s="87"/>
      <c r="B48" s="87"/>
      <c r="C48" s="86"/>
      <c r="D48" s="86"/>
      <c r="E48" s="86"/>
      <c r="F48" s="86"/>
      <c r="G48" s="86"/>
      <c r="H48" s="86"/>
      <c r="I48" s="86"/>
      <c r="J48" s="86"/>
      <c r="K48" s="4"/>
      <c r="L48" s="97"/>
      <c r="M48" s="60"/>
      <c r="N48" s="60"/>
      <c r="O48" s="60"/>
      <c r="P48" s="60"/>
      <c r="Q48" s="60"/>
    </row>
    <row r="49" spans="1:4" ht="7.5" customHeight="1">
      <c r="A49" s="74"/>
      <c r="B49" s="74"/>
      <c r="C49" s="74"/>
      <c r="D49" s="72"/>
    </row>
    <row r="50" spans="1:10" s="352" customFormat="1" ht="15.75">
      <c r="A50" s="295" t="s">
        <v>211</v>
      </c>
      <c r="B50" s="351"/>
      <c r="C50" s="351"/>
      <c r="D50" s="351"/>
      <c r="F50" s="353">
        <v>4.5</v>
      </c>
      <c r="G50" s="352" t="s">
        <v>15</v>
      </c>
      <c r="H50" s="354"/>
      <c r="I50" s="354"/>
      <c r="J50" s="351"/>
    </row>
    <row r="51" spans="1:10" s="352" customFormat="1" ht="7.5" customHeight="1">
      <c r="A51" s="350"/>
      <c r="B51" s="351"/>
      <c r="C51" s="351"/>
      <c r="D51" s="351"/>
      <c r="F51" s="353"/>
      <c r="H51" s="354"/>
      <c r="I51" s="354"/>
      <c r="J51" s="351"/>
    </row>
    <row r="52" spans="1:7" ht="15.75" customHeight="1">
      <c r="A52" s="275" t="s">
        <v>103</v>
      </c>
      <c r="B52" s="275"/>
      <c r="C52" s="275"/>
      <c r="D52" s="276"/>
      <c r="E52" s="277"/>
      <c r="F52" s="277"/>
      <c r="G52" s="277"/>
    </row>
    <row r="53" spans="1:10" ht="15.75">
      <c r="A53" s="277"/>
      <c r="B53" s="278" t="s">
        <v>41</v>
      </c>
      <c r="C53" s="276"/>
      <c r="D53" s="276"/>
      <c r="E53" s="277"/>
      <c r="F53" s="359">
        <v>5.25</v>
      </c>
      <c r="G53" s="277" t="s">
        <v>15</v>
      </c>
      <c r="H53" s="78"/>
      <c r="I53" s="78"/>
      <c r="J53" s="72"/>
    </row>
    <row r="54" spans="1:10" ht="15.75">
      <c r="A54" s="277"/>
      <c r="B54" s="278" t="s">
        <v>42</v>
      </c>
      <c r="C54" s="276"/>
      <c r="D54" s="276"/>
      <c r="E54" s="277"/>
      <c r="F54" s="279">
        <v>20</v>
      </c>
      <c r="G54" s="79" t="s">
        <v>53</v>
      </c>
      <c r="H54" s="78"/>
      <c r="I54" s="78"/>
      <c r="J54" s="72"/>
    </row>
    <row r="55" spans="1:10" ht="15.75">
      <c r="A55" s="277"/>
      <c r="B55" s="278" t="s">
        <v>104</v>
      </c>
      <c r="C55" s="276"/>
      <c r="D55" s="276"/>
      <c r="E55" s="277"/>
      <c r="F55" s="280">
        <v>2.5</v>
      </c>
      <c r="G55" s="277" t="s">
        <v>15</v>
      </c>
      <c r="H55" s="78"/>
      <c r="I55" s="78"/>
      <c r="J55" s="72"/>
    </row>
    <row r="56" spans="1:7" ht="15.75" customHeight="1">
      <c r="A56" s="281"/>
      <c r="B56" s="276"/>
      <c r="C56" s="276"/>
      <c r="D56" s="277"/>
      <c r="E56" s="277"/>
      <c r="F56" s="282"/>
      <c r="G56" s="79"/>
    </row>
    <row r="57" spans="1:10" ht="15.75">
      <c r="A57" s="275" t="s">
        <v>52</v>
      </c>
      <c r="B57" s="276"/>
      <c r="C57" s="276"/>
      <c r="D57" s="276"/>
      <c r="E57" s="277"/>
      <c r="F57" s="280"/>
      <c r="G57" s="277"/>
      <c r="H57" s="72"/>
      <c r="I57" s="72"/>
      <c r="J57" s="72"/>
    </row>
    <row r="58" spans="1:10" ht="15.75">
      <c r="A58" s="277"/>
      <c r="B58" s="281" t="s">
        <v>32</v>
      </c>
      <c r="C58" s="276"/>
      <c r="D58" s="276"/>
      <c r="E58" s="277"/>
      <c r="F58" s="286">
        <v>18</v>
      </c>
      <c r="G58" s="277" t="s">
        <v>15</v>
      </c>
      <c r="H58" s="78"/>
      <c r="I58" s="78"/>
      <c r="J58" s="72"/>
    </row>
    <row r="59" spans="1:10" ht="15.75">
      <c r="A59" s="277"/>
      <c r="B59" s="278" t="s">
        <v>40</v>
      </c>
      <c r="C59" s="276"/>
      <c r="D59" s="276"/>
      <c r="E59" s="277"/>
      <c r="F59" s="280">
        <v>3</v>
      </c>
      <c r="G59" s="277"/>
      <c r="H59" s="78"/>
      <c r="I59" s="78"/>
      <c r="J59" s="72"/>
    </row>
    <row r="60" spans="1:10" ht="15.75" customHeight="1">
      <c r="A60" s="281"/>
      <c r="B60" s="281"/>
      <c r="C60" s="276"/>
      <c r="D60" s="276"/>
      <c r="E60" s="283"/>
      <c r="F60" s="277"/>
      <c r="G60" s="79"/>
      <c r="H60" s="78"/>
      <c r="I60" s="78"/>
      <c r="J60" s="72"/>
    </row>
    <row r="61" spans="1:10" ht="15.75">
      <c r="A61" s="275" t="s">
        <v>136</v>
      </c>
      <c r="B61" s="276"/>
      <c r="C61" s="276"/>
      <c r="D61" s="276"/>
      <c r="E61" s="277"/>
      <c r="F61" s="280"/>
      <c r="G61" s="277"/>
      <c r="H61" s="72"/>
      <c r="I61" s="72"/>
      <c r="J61" s="72"/>
    </row>
    <row r="62" spans="1:10" ht="15.75">
      <c r="A62" s="277"/>
      <c r="B62" s="281" t="s">
        <v>137</v>
      </c>
      <c r="C62" s="276"/>
      <c r="D62" s="276"/>
      <c r="E62" s="277"/>
      <c r="F62" s="282">
        <v>70</v>
      </c>
      <c r="G62" s="79" t="s">
        <v>25</v>
      </c>
      <c r="H62" s="78"/>
      <c r="I62" s="78"/>
      <c r="J62" s="72"/>
    </row>
    <row r="63" spans="1:10" ht="15.75">
      <c r="A63" s="277"/>
      <c r="B63" s="281" t="s">
        <v>140</v>
      </c>
      <c r="C63" s="276"/>
      <c r="D63" s="276"/>
      <c r="E63" s="277"/>
      <c r="F63" s="282">
        <v>12</v>
      </c>
      <c r="G63" s="79" t="s">
        <v>25</v>
      </c>
      <c r="H63" s="78"/>
      <c r="I63" s="78"/>
      <c r="J63" s="72"/>
    </row>
    <row r="64" spans="1:10" ht="15.75">
      <c r="A64" s="277"/>
      <c r="B64" s="281" t="s">
        <v>141</v>
      </c>
      <c r="C64" s="276"/>
      <c r="D64" s="276"/>
      <c r="E64" s="277"/>
      <c r="F64" s="280">
        <v>2.25</v>
      </c>
      <c r="G64" s="277" t="s">
        <v>15</v>
      </c>
      <c r="H64" s="78"/>
      <c r="I64" s="78"/>
      <c r="J64" s="72"/>
    </row>
    <row r="65" ht="15"/>
    <row r="66" spans="1:10" ht="15.75" customHeight="1">
      <c r="A66" s="275" t="s">
        <v>84</v>
      </c>
      <c r="B66" s="276"/>
      <c r="C66" s="276"/>
      <c r="D66" s="276"/>
      <c r="E66" s="277"/>
      <c r="F66" s="276"/>
      <c r="G66" s="277"/>
      <c r="H66" s="72"/>
      <c r="I66" s="72"/>
      <c r="J66" s="72"/>
    </row>
    <row r="67" spans="1:10" ht="15.75" customHeight="1">
      <c r="A67" s="281"/>
      <c r="B67" s="275" t="s">
        <v>91</v>
      </c>
      <c r="C67" s="276"/>
      <c r="D67" s="276"/>
      <c r="E67" s="283"/>
      <c r="F67" s="277"/>
      <c r="G67" s="277"/>
      <c r="H67" s="78"/>
      <c r="I67" s="78"/>
      <c r="J67" s="72"/>
    </row>
    <row r="68" spans="1:10" ht="15.75" customHeight="1">
      <c r="A68" s="281"/>
      <c r="B68" s="281" t="s">
        <v>92</v>
      </c>
      <c r="C68" s="276"/>
      <c r="D68" s="276"/>
      <c r="E68" s="283"/>
      <c r="F68" s="305">
        <v>600</v>
      </c>
      <c r="G68" s="79" t="s">
        <v>93</v>
      </c>
      <c r="H68" s="78"/>
      <c r="I68" s="78"/>
      <c r="J68" s="72"/>
    </row>
    <row r="69" spans="1:10" ht="15.75" customHeight="1">
      <c r="A69" s="281"/>
      <c r="B69" s="281" t="s">
        <v>94</v>
      </c>
      <c r="C69" s="276"/>
      <c r="D69" s="276"/>
      <c r="E69" s="283"/>
      <c r="F69" s="305">
        <v>400</v>
      </c>
      <c r="G69" s="79" t="s">
        <v>93</v>
      </c>
      <c r="H69" s="78"/>
      <c r="I69" s="78"/>
      <c r="J69" s="72"/>
    </row>
    <row r="70" spans="1:10" ht="15.75" customHeight="1">
      <c r="A70" s="281"/>
      <c r="B70" s="281" t="s">
        <v>110</v>
      </c>
      <c r="C70" s="276"/>
      <c r="D70" s="276"/>
      <c r="E70" s="283"/>
      <c r="F70" s="306">
        <v>64000</v>
      </c>
      <c r="G70" s="79" t="s">
        <v>109</v>
      </c>
      <c r="H70" s="78"/>
      <c r="I70" s="78"/>
      <c r="J70" s="72"/>
    </row>
    <row r="71" spans="1:10" ht="15.75" customHeight="1">
      <c r="A71" s="281"/>
      <c r="B71" s="281" t="s">
        <v>95</v>
      </c>
      <c r="C71" s="276"/>
      <c r="D71" s="276"/>
      <c r="E71" s="283"/>
      <c r="F71" s="305">
        <v>160</v>
      </c>
      <c r="G71" s="79" t="s">
        <v>93</v>
      </c>
      <c r="H71" s="78"/>
      <c r="I71" s="78"/>
      <c r="J71" s="72"/>
    </row>
    <row r="72" spans="1:10" ht="15.75">
      <c r="A72" s="277"/>
      <c r="B72" s="275" t="s">
        <v>56</v>
      </c>
      <c r="C72" s="276"/>
      <c r="D72" s="276"/>
      <c r="E72" s="277"/>
      <c r="F72" s="276"/>
      <c r="G72" s="277"/>
      <c r="H72" s="72"/>
      <c r="I72" s="72"/>
      <c r="J72" s="72"/>
    </row>
    <row r="73" spans="1:10" ht="15.75">
      <c r="A73" s="277"/>
      <c r="B73" s="281" t="s">
        <v>126</v>
      </c>
      <c r="C73" s="276"/>
      <c r="D73" s="276"/>
      <c r="E73" s="277"/>
      <c r="F73" s="284">
        <v>450</v>
      </c>
      <c r="G73" s="79" t="s">
        <v>25</v>
      </c>
      <c r="H73" s="78"/>
      <c r="I73" s="78"/>
      <c r="J73" s="72"/>
    </row>
    <row r="74" spans="1:10" ht="15.75">
      <c r="A74" s="277"/>
      <c r="B74" s="281" t="s">
        <v>83</v>
      </c>
      <c r="C74" s="276"/>
      <c r="D74" s="276"/>
      <c r="E74" s="277"/>
      <c r="F74" s="279">
        <v>10</v>
      </c>
      <c r="G74" s="277" t="s">
        <v>15</v>
      </c>
      <c r="H74" s="78"/>
      <c r="I74" s="78"/>
      <c r="J74" s="72"/>
    </row>
    <row r="75" spans="1:10" ht="15.75">
      <c r="A75" s="277"/>
      <c r="B75" s="281" t="s">
        <v>90</v>
      </c>
      <c r="C75" s="276"/>
      <c r="D75" s="276"/>
      <c r="E75" s="277"/>
      <c r="F75" s="285">
        <v>2.5</v>
      </c>
      <c r="G75" s="277" t="s">
        <v>15</v>
      </c>
      <c r="H75" s="78"/>
      <c r="I75" s="78"/>
      <c r="J75" s="72"/>
    </row>
    <row r="76" spans="1:10" ht="15.75">
      <c r="A76" s="277"/>
      <c r="B76" s="281" t="s">
        <v>85</v>
      </c>
      <c r="C76" s="276"/>
      <c r="D76" s="276"/>
      <c r="E76" s="277"/>
      <c r="F76" s="282">
        <v>1.95</v>
      </c>
      <c r="G76" s="79" t="s">
        <v>61</v>
      </c>
      <c r="H76" s="78"/>
      <c r="I76" s="78"/>
      <c r="J76" s="72"/>
    </row>
    <row r="77" spans="1:10" ht="15.75">
      <c r="A77" s="277"/>
      <c r="B77" s="281" t="s">
        <v>87</v>
      </c>
      <c r="C77" s="276"/>
      <c r="D77" s="276"/>
      <c r="E77" s="277"/>
      <c r="F77" s="283">
        <v>25</v>
      </c>
      <c r="G77" s="277" t="s">
        <v>15</v>
      </c>
      <c r="H77" s="78"/>
      <c r="I77" s="78"/>
      <c r="J77" s="72"/>
    </row>
    <row r="78" spans="1:10" ht="15.75">
      <c r="A78" s="277"/>
      <c r="B78" s="281" t="s">
        <v>86</v>
      </c>
      <c r="C78" s="276"/>
      <c r="D78" s="276"/>
      <c r="E78" s="277"/>
      <c r="F78" s="282">
        <v>2.45</v>
      </c>
      <c r="G78" s="79" t="s">
        <v>61</v>
      </c>
      <c r="H78" s="78"/>
      <c r="I78" s="78"/>
      <c r="J78" s="72"/>
    </row>
    <row r="79" spans="1:10" ht="15.75">
      <c r="A79" s="277"/>
      <c r="B79" s="281" t="s">
        <v>88</v>
      </c>
      <c r="C79" s="276"/>
      <c r="D79" s="276"/>
      <c r="E79" s="277"/>
      <c r="F79" s="283">
        <v>75</v>
      </c>
      <c r="G79" s="277" t="s">
        <v>15</v>
      </c>
      <c r="H79" s="78"/>
      <c r="I79" s="78"/>
      <c r="J79" s="72"/>
    </row>
    <row r="80" spans="1:10" ht="15.75">
      <c r="A80" s="277"/>
      <c r="B80" s="275" t="s">
        <v>58</v>
      </c>
      <c r="C80" s="276"/>
      <c r="D80" s="276"/>
      <c r="E80" s="277"/>
      <c r="F80" s="276"/>
      <c r="G80" s="277"/>
      <c r="H80" s="72"/>
      <c r="I80" s="72"/>
      <c r="J80" s="72"/>
    </row>
    <row r="81" spans="1:10" ht="15.75">
      <c r="A81" s="277"/>
      <c r="B81" s="281" t="s">
        <v>62</v>
      </c>
      <c r="C81" s="276"/>
      <c r="D81" s="276"/>
      <c r="E81" s="277"/>
      <c r="F81" s="279">
        <v>1.5</v>
      </c>
      <c r="G81" s="79" t="s">
        <v>59</v>
      </c>
      <c r="H81" s="78"/>
      <c r="I81" s="78"/>
      <c r="J81" s="72"/>
    </row>
    <row r="82" spans="1:10" ht="15.75">
      <c r="A82" s="277"/>
      <c r="B82" s="281" t="s">
        <v>63</v>
      </c>
      <c r="C82" s="276"/>
      <c r="D82" s="276"/>
      <c r="E82" s="277"/>
      <c r="F82" s="284">
        <v>20</v>
      </c>
      <c r="G82" s="79" t="s">
        <v>60</v>
      </c>
      <c r="H82" s="78"/>
      <c r="I82" s="78"/>
      <c r="J82" s="72"/>
    </row>
    <row r="83" spans="1:10" ht="15.75" customHeight="1">
      <c r="A83" s="281"/>
      <c r="B83" s="281"/>
      <c r="C83" s="276"/>
      <c r="D83" s="276"/>
      <c r="E83" s="283"/>
      <c r="F83" s="277"/>
      <c r="G83" s="79"/>
      <c r="H83" s="78"/>
      <c r="I83" s="78"/>
      <c r="J83" s="72"/>
    </row>
    <row r="84" spans="1:10" ht="15.75">
      <c r="A84" s="275" t="s">
        <v>214</v>
      </c>
      <c r="B84" s="276"/>
      <c r="C84" s="276"/>
      <c r="D84" s="276"/>
      <c r="E84" s="277"/>
      <c r="F84" s="280"/>
      <c r="G84" s="277"/>
      <c r="H84" s="72"/>
      <c r="I84" s="72"/>
      <c r="J84" s="72"/>
    </row>
    <row r="85" spans="1:10" ht="15.75">
      <c r="A85" s="277"/>
      <c r="B85" s="281" t="s">
        <v>218</v>
      </c>
      <c r="C85" s="276"/>
      <c r="D85" s="276"/>
      <c r="E85" s="277"/>
      <c r="F85" s="358">
        <v>5</v>
      </c>
      <c r="G85" s="277"/>
      <c r="H85" s="78"/>
      <c r="I85" s="78"/>
      <c r="J85" s="72"/>
    </row>
    <row r="86" spans="1:10" ht="15.75">
      <c r="A86" s="277"/>
      <c r="B86" s="281" t="s">
        <v>219</v>
      </c>
      <c r="C86" s="276"/>
      <c r="D86" s="276"/>
      <c r="E86" s="277"/>
      <c r="F86" s="358">
        <v>6</v>
      </c>
      <c r="G86" s="277"/>
      <c r="H86" s="78"/>
      <c r="I86" s="78"/>
      <c r="J86" s="72"/>
    </row>
    <row r="87" spans="1:10" ht="15.75">
      <c r="A87" s="277"/>
      <c r="B87" s="281" t="s">
        <v>220</v>
      </c>
      <c r="C87" s="276"/>
      <c r="D87" s="276"/>
      <c r="E87" s="277"/>
      <c r="F87" s="358">
        <v>8</v>
      </c>
      <c r="G87" s="277"/>
      <c r="H87" s="78"/>
      <c r="I87" s="78"/>
      <c r="J87" s="72"/>
    </row>
    <row r="88" spans="1:10" ht="15.75">
      <c r="A88" s="277"/>
      <c r="B88" s="281" t="s">
        <v>221</v>
      </c>
      <c r="C88" s="276"/>
      <c r="D88" s="276"/>
      <c r="E88" s="277"/>
      <c r="F88" s="358">
        <v>10</v>
      </c>
      <c r="G88" s="277"/>
      <c r="H88" s="78"/>
      <c r="I88" s="78"/>
      <c r="J88" s="72"/>
    </row>
    <row r="89" spans="1:10" ht="15.75">
      <c r="A89" s="277"/>
      <c r="B89" s="281"/>
      <c r="C89" s="276"/>
      <c r="D89" s="276"/>
      <c r="E89" s="277"/>
      <c r="F89" s="358"/>
      <c r="G89" s="277"/>
      <c r="H89" s="78"/>
      <c r="I89" s="78"/>
      <c r="J89" s="72"/>
    </row>
    <row r="90" spans="1:17" s="3" customFormat="1" ht="15" customHeight="1">
      <c r="A90" s="275" t="s">
        <v>84</v>
      </c>
      <c r="B90" s="87"/>
      <c r="C90" s="87"/>
      <c r="D90" s="87"/>
      <c r="E90" s="87"/>
      <c r="F90" s="87"/>
      <c r="G90" s="87"/>
      <c r="H90" s="86"/>
      <c r="I90" s="86"/>
      <c r="J90" s="86"/>
      <c r="K90" s="4"/>
      <c r="L90" s="96"/>
      <c r="M90" s="60"/>
      <c r="N90" s="60"/>
      <c r="O90" s="60"/>
      <c r="P90" s="60"/>
      <c r="Q90" s="60"/>
    </row>
    <row r="91" spans="1:7" ht="15.75">
      <c r="A91" s="277"/>
      <c r="B91" s="275" t="s">
        <v>54</v>
      </c>
      <c r="C91" s="276"/>
      <c r="D91" s="277"/>
      <c r="E91" s="277"/>
      <c r="F91" s="284"/>
      <c r="G91" s="79"/>
    </row>
    <row r="92" spans="1:10" ht="15.75">
      <c r="A92" s="277"/>
      <c r="B92" s="281" t="s">
        <v>135</v>
      </c>
      <c r="C92" s="276"/>
      <c r="D92" s="276"/>
      <c r="E92" s="277"/>
      <c r="F92" s="280">
        <v>2.02</v>
      </c>
      <c r="G92" s="277" t="s">
        <v>15</v>
      </c>
      <c r="H92" s="72"/>
      <c r="I92" s="72"/>
      <c r="J92" s="72"/>
    </row>
    <row r="93" spans="1:10" ht="15.75">
      <c r="A93" s="277"/>
      <c r="B93" s="281" t="s">
        <v>57</v>
      </c>
      <c r="C93" s="276"/>
      <c r="D93" s="276"/>
      <c r="E93" s="277"/>
      <c r="F93" s="280">
        <v>7.1</v>
      </c>
      <c r="G93" s="277" t="s">
        <v>15</v>
      </c>
      <c r="H93" s="72"/>
      <c r="I93" s="72"/>
      <c r="J93" s="72"/>
    </row>
  </sheetData>
  <sheetProtection password="C6A6" sheet="1"/>
  <mergeCells count="9">
    <mergeCell ref="A34:J34"/>
    <mergeCell ref="A2:J2"/>
    <mergeCell ref="A24:J24"/>
    <mergeCell ref="A11:J11"/>
    <mergeCell ref="L14:Q14"/>
    <mergeCell ref="L5:Q5"/>
    <mergeCell ref="L28:Q29"/>
    <mergeCell ref="L6:Q6"/>
    <mergeCell ref="L24:N25"/>
  </mergeCells>
  <dataValidations count="2">
    <dataValidation type="list" allowBlank="1" showInputMessage="1" showErrorMessage="1" sqref="B14">
      <formula1>$X$14:$AO$14</formula1>
    </dataValidation>
    <dataValidation type="list" allowBlank="1" showInputMessage="1" showErrorMessage="1" sqref="C14">
      <formula1>$X$16:$Z$16</formula1>
    </dataValidation>
  </dataValidations>
  <printOptions horizontalCentered="1"/>
  <pageMargins left="0.7480314960629921" right="0.7480314960629921" top="0.984251968503937" bottom="0.984251968503937" header="0.5118110236220472" footer="0.5118110236220472"/>
  <pageSetup firstPageNumber="3" useFirstPageNumber="1" fitToHeight="4" horizontalDpi="600" verticalDpi="600" orientation="portrait" scale="77" r:id="rId3"/>
  <headerFooter alignWithMargins="0">
    <oddHeader>&amp;L&amp;9Guidleines: Crop Land Purchase Values&amp;R&amp;P</oddHeader>
    <oddFooter>&amp;R&amp;9Manitoba Agriculture</oddFooter>
  </headerFooter>
  <rowBreaks count="1" manualBreakCount="1">
    <brk id="49" max="9" man="1"/>
  </rowBreaks>
  <legacyDrawing r:id="rId2"/>
</worksheet>
</file>

<file path=xl/worksheets/sheet4.xml><?xml version="1.0" encoding="utf-8"?>
<worksheet xmlns="http://schemas.openxmlformats.org/spreadsheetml/2006/main" xmlns:r="http://schemas.openxmlformats.org/officeDocument/2006/relationships">
  <sheetPr codeName="Sheet9"/>
  <dimension ref="A1:V87"/>
  <sheetViews>
    <sheetView showGridLines="0" workbookViewId="0" topLeftCell="A1">
      <selection activeCell="A1" sqref="A1"/>
    </sheetView>
  </sheetViews>
  <sheetFormatPr defaultColWidth="10.28125" defaultRowHeight="12.75"/>
  <cols>
    <col min="1" max="1" width="2.140625" style="4" customWidth="1"/>
    <col min="2" max="2" width="31.8515625" style="4" customWidth="1"/>
    <col min="3" max="9" width="10.7109375" style="4" customWidth="1"/>
    <col min="10" max="10" width="10.8515625" style="50" bestFit="1" customWidth="1"/>
    <col min="11" max="16384" width="10.28125" style="2" customWidth="1"/>
  </cols>
  <sheetData>
    <row r="1" spans="1:6" s="13" customFormat="1" ht="27" customHeight="1">
      <c r="A1" s="11"/>
      <c r="B1" s="11"/>
      <c r="C1" s="12"/>
      <c r="D1" s="12"/>
      <c r="E1" s="12"/>
      <c r="F1" s="12"/>
    </row>
    <row r="2" spans="1:6" s="13" customFormat="1" ht="27">
      <c r="A2" s="14" t="s">
        <v>7</v>
      </c>
      <c r="B2" s="11"/>
      <c r="C2" s="12"/>
      <c r="D2" s="12"/>
      <c r="E2" s="12"/>
      <c r="F2" s="12"/>
    </row>
    <row r="3" spans="1:10" s="13" customFormat="1" ht="17.25">
      <c r="A3" s="126" t="s">
        <v>64</v>
      </c>
      <c r="B3" s="11"/>
      <c r="C3" s="12"/>
      <c r="D3" s="12"/>
      <c r="I3" s="16" t="s">
        <v>2</v>
      </c>
      <c r="J3" s="42">
        <f ca="1">TODAY()</f>
        <v>42802</v>
      </c>
    </row>
    <row r="4" spans="1:9" s="13" customFormat="1" ht="7.5" customHeight="1">
      <c r="A4" s="15"/>
      <c r="B4" s="11"/>
      <c r="C4" s="12"/>
      <c r="D4" s="12"/>
      <c r="H4" s="16"/>
      <c r="I4" s="42"/>
    </row>
    <row r="5" spans="1:9" s="13" customFormat="1" ht="15.75" customHeight="1">
      <c r="A5" s="403" t="s">
        <v>68</v>
      </c>
      <c r="B5" s="404"/>
      <c r="C5" s="404"/>
      <c r="D5" s="404"/>
      <c r="E5" s="404"/>
      <c r="F5" s="404"/>
      <c r="G5" s="404"/>
      <c r="H5" s="404"/>
      <c r="I5" s="404"/>
    </row>
    <row r="6" spans="1:9" s="13" customFormat="1" ht="15.75" customHeight="1">
      <c r="A6" s="404"/>
      <c r="B6" s="404"/>
      <c r="C6" s="404"/>
      <c r="D6" s="404"/>
      <c r="E6" s="404"/>
      <c r="F6" s="404"/>
      <c r="G6" s="404"/>
      <c r="H6" s="404"/>
      <c r="I6" s="404"/>
    </row>
    <row r="7" spans="1:9" s="13" customFormat="1" ht="15.75" customHeight="1">
      <c r="A7" s="404"/>
      <c r="B7" s="404"/>
      <c r="C7" s="404"/>
      <c r="D7" s="404"/>
      <c r="E7" s="404"/>
      <c r="F7" s="404"/>
      <c r="G7" s="404"/>
      <c r="H7" s="404"/>
      <c r="I7" s="404"/>
    </row>
    <row r="8" spans="1:9" s="13" customFormat="1" ht="15.75" customHeight="1">
      <c r="A8" s="355"/>
      <c r="B8" s="355"/>
      <c r="C8" s="355"/>
      <c r="D8" s="355"/>
      <c r="E8" s="355"/>
      <c r="F8" s="355"/>
      <c r="G8" s="355"/>
      <c r="H8" s="355"/>
      <c r="I8" s="355"/>
    </row>
    <row r="9" spans="1:9" s="13" customFormat="1" ht="15.75" customHeight="1">
      <c r="A9" s="136"/>
      <c r="B9" s="136"/>
      <c r="C9" s="136"/>
      <c r="D9" s="136"/>
      <c r="E9" s="136"/>
      <c r="F9" s="136"/>
      <c r="G9" s="136"/>
      <c r="H9" s="136"/>
      <c r="I9" s="136"/>
    </row>
    <row r="10" spans="1:10" s="9" customFormat="1" ht="9" customHeight="1">
      <c r="A10" s="172"/>
      <c r="B10" s="173"/>
      <c r="C10" s="173"/>
      <c r="D10" s="174"/>
      <c r="E10" s="174"/>
      <c r="F10" s="174"/>
      <c r="G10" s="174"/>
      <c r="H10" s="174"/>
      <c r="I10" s="174"/>
      <c r="J10" s="175"/>
    </row>
    <row r="11" spans="1:10" s="9" customFormat="1" ht="18">
      <c r="A11" s="176"/>
      <c r="B11" s="177"/>
      <c r="C11" s="177"/>
      <c r="D11" s="177"/>
      <c r="E11" s="178" t="s">
        <v>39</v>
      </c>
      <c r="F11" s="160">
        <f>Input!F58/100</f>
        <v>0.18</v>
      </c>
      <c r="G11" s="177"/>
      <c r="H11" s="177"/>
      <c r="I11" s="177"/>
      <c r="J11" s="179"/>
    </row>
    <row r="12" spans="1:10" s="9" customFormat="1" ht="18">
      <c r="A12" s="176"/>
      <c r="B12" s="180"/>
      <c r="C12" s="180"/>
      <c r="D12" s="177"/>
      <c r="E12" s="178" t="s">
        <v>40</v>
      </c>
      <c r="F12" s="161">
        <f>Input!F59</f>
        <v>3</v>
      </c>
      <c r="G12" s="181"/>
      <c r="H12" s="181"/>
      <c r="I12" s="181"/>
      <c r="J12" s="182"/>
    </row>
    <row r="13" spans="1:10" s="9" customFormat="1" ht="18">
      <c r="A13" s="176"/>
      <c r="B13" s="180"/>
      <c r="C13" s="180"/>
      <c r="D13" s="177"/>
      <c r="E13" s="178" t="s">
        <v>41</v>
      </c>
      <c r="F13" s="162">
        <f>Input!F53/100</f>
        <v>0.0525</v>
      </c>
      <c r="G13" s="181"/>
      <c r="H13" s="181"/>
      <c r="I13" s="181"/>
      <c r="J13" s="182"/>
    </row>
    <row r="14" spans="1:10" s="9" customFormat="1" ht="18">
      <c r="A14" s="176"/>
      <c r="B14" s="180"/>
      <c r="C14" s="180"/>
      <c r="D14" s="177"/>
      <c r="E14" s="178" t="s">
        <v>42</v>
      </c>
      <c r="F14" s="163">
        <f>Input!F54</f>
        <v>20</v>
      </c>
      <c r="G14" s="181"/>
      <c r="H14" s="181"/>
      <c r="I14" s="181"/>
      <c r="J14" s="182"/>
    </row>
    <row r="15" spans="1:10" s="9" customFormat="1" ht="18">
      <c r="A15" s="176"/>
      <c r="B15" s="180"/>
      <c r="C15" s="180"/>
      <c r="D15" s="177"/>
      <c r="E15" s="178" t="s">
        <v>43</v>
      </c>
      <c r="F15" s="160">
        <f>Input!F55/100</f>
        <v>0.025</v>
      </c>
      <c r="G15" s="181"/>
      <c r="H15" s="181"/>
      <c r="I15" s="181"/>
      <c r="J15" s="182"/>
    </row>
    <row r="16" spans="1:10" s="9" customFormat="1" ht="9" customHeight="1">
      <c r="A16" s="183"/>
      <c r="B16" s="184"/>
      <c r="C16" s="184"/>
      <c r="D16" s="185"/>
      <c r="E16" s="186"/>
      <c r="F16" s="187"/>
      <c r="G16" s="188"/>
      <c r="H16" s="188"/>
      <c r="I16" s="188"/>
      <c r="J16" s="189"/>
    </row>
    <row r="17" spans="1:5" s="139" customFormat="1" ht="15.75" customHeight="1">
      <c r="A17" s="121"/>
      <c r="B17" s="137"/>
      <c r="C17" s="12"/>
      <c r="D17" s="12"/>
      <c r="E17" s="138"/>
    </row>
    <row r="18" spans="1:5" s="139" customFormat="1" ht="15.75" customHeight="1">
      <c r="A18" s="121"/>
      <c r="B18" s="137"/>
      <c r="C18" s="12"/>
      <c r="D18" s="12"/>
      <c r="E18" s="138"/>
    </row>
    <row r="19" spans="1:13" s="3" customFormat="1" ht="18" customHeight="1">
      <c r="A19" s="406" t="s">
        <v>213</v>
      </c>
      <c r="B19" s="407"/>
      <c r="C19" s="407"/>
      <c r="D19" s="407"/>
      <c r="E19" s="407"/>
      <c r="F19" s="407"/>
      <c r="G19" s="407"/>
      <c r="H19" s="407"/>
      <c r="I19" s="407"/>
      <c r="J19" s="407"/>
      <c r="K19" s="1"/>
      <c r="L19" s="1"/>
      <c r="M19" s="1"/>
    </row>
    <row r="20" spans="1:10" s="3" customFormat="1" ht="33.75" customHeight="1">
      <c r="A20" s="99" t="s">
        <v>33</v>
      </c>
      <c r="B20" s="91"/>
      <c r="C20" s="28" t="s">
        <v>8</v>
      </c>
      <c r="D20" s="164" t="str">
        <f>Input!D25</f>
        <v>Canola</v>
      </c>
      <c r="E20" s="164" t="str">
        <f>Input!E25</f>
        <v>Wheat</v>
      </c>
      <c r="F20" s="164" t="str">
        <f>Input!F25</f>
        <v>Winter Wheat</v>
      </c>
      <c r="G20" s="164" t="str">
        <f>Input!G25</f>
        <v>Soy-beans</v>
      </c>
      <c r="H20" s="164" t="str">
        <f>Input!H25</f>
        <v>Corn</v>
      </c>
      <c r="I20" s="28" t="str">
        <f>Input!I25</f>
        <v>Barley</v>
      </c>
      <c r="J20" s="28" t="str">
        <f>Input!J25</f>
        <v>Oats</v>
      </c>
    </row>
    <row r="21" spans="1:10" s="3" customFormat="1" ht="7.5" customHeight="1">
      <c r="A21" s="88"/>
      <c r="B21" s="40"/>
      <c r="C21" s="124"/>
      <c r="D21" s="23"/>
      <c r="E21" s="23"/>
      <c r="F21" s="23"/>
      <c r="G21" s="23"/>
      <c r="H21" s="23"/>
      <c r="I21" s="20"/>
      <c r="J21" s="20"/>
    </row>
    <row r="22" spans="1:10" s="3" customFormat="1" ht="15.75">
      <c r="A22" s="24" t="s">
        <v>35</v>
      </c>
      <c r="B22" s="87"/>
      <c r="C22" s="124"/>
      <c r="D22" s="165">
        <f>Input!D27</f>
        <v>10.75</v>
      </c>
      <c r="E22" s="165">
        <f>Input!E27</f>
        <v>6.25</v>
      </c>
      <c r="F22" s="165">
        <f>Input!F27</f>
        <v>5</v>
      </c>
      <c r="G22" s="165">
        <f>Input!G27</f>
        <v>11.5</v>
      </c>
      <c r="H22" s="165">
        <f>Input!H27</f>
        <v>4.25</v>
      </c>
      <c r="I22" s="131">
        <f>Input!I27</f>
        <v>3.5</v>
      </c>
      <c r="J22" s="131">
        <f>Input!J27</f>
        <v>3.2</v>
      </c>
    </row>
    <row r="23" spans="1:10" s="3" customFormat="1" ht="7.5" customHeight="1">
      <c r="A23" s="24"/>
      <c r="B23" s="87"/>
      <c r="C23" s="124"/>
      <c r="D23" s="44"/>
      <c r="E23" s="44"/>
      <c r="F23" s="44"/>
      <c r="G23" s="44"/>
      <c r="H23" s="44"/>
      <c r="I23" s="46"/>
      <c r="J23" s="46"/>
    </row>
    <row r="24" spans="1:10" s="3" customFormat="1" ht="15.75">
      <c r="A24" s="24" t="s">
        <v>10</v>
      </c>
      <c r="B24" s="87"/>
      <c r="C24" s="124"/>
      <c r="D24" s="166">
        <f>Input!D29</f>
        <v>40</v>
      </c>
      <c r="E24" s="166">
        <f>Input!E29</f>
        <v>55</v>
      </c>
      <c r="F24" s="166">
        <f>Input!F29</f>
        <v>75</v>
      </c>
      <c r="G24" s="166">
        <f>Input!G29</f>
        <v>36</v>
      </c>
      <c r="H24" s="166">
        <f>Input!H29</f>
        <v>120</v>
      </c>
      <c r="I24" s="167">
        <f>Input!I29</f>
        <v>80</v>
      </c>
      <c r="J24" s="167">
        <f>Input!J29</f>
        <v>100</v>
      </c>
    </row>
    <row r="25" spans="1:10" s="3" customFormat="1" ht="7.5" customHeight="1">
      <c r="A25" s="88"/>
      <c r="B25" s="89"/>
      <c r="C25" s="124"/>
      <c r="D25" s="30"/>
      <c r="E25" s="30"/>
      <c r="F25" s="30"/>
      <c r="G25" s="30"/>
      <c r="H25" s="30"/>
      <c r="I25" s="36"/>
      <c r="J25" s="36"/>
    </row>
    <row r="26" spans="1:10" s="3" customFormat="1" ht="15.75">
      <c r="A26" s="88" t="s">
        <v>5</v>
      </c>
      <c r="B26" s="87"/>
      <c r="C26" s="21">
        <f>SUM(D26:J26)</f>
        <v>1</v>
      </c>
      <c r="D26" s="168">
        <f>Input!D31</f>
        <v>0.4</v>
      </c>
      <c r="E26" s="168">
        <f>Input!E31</f>
        <v>0.4</v>
      </c>
      <c r="F26" s="168">
        <f>Input!F31</f>
        <v>0.1</v>
      </c>
      <c r="G26" s="168">
        <f>Input!G31</f>
        <v>0.1</v>
      </c>
      <c r="H26" s="168">
        <f>Input!H31</f>
        <v>0</v>
      </c>
      <c r="I26" s="169">
        <f>Input!I31</f>
        <v>0</v>
      </c>
      <c r="J26" s="169">
        <f>Input!J31</f>
        <v>0</v>
      </c>
    </row>
    <row r="27" spans="1:10" s="3" customFormat="1" ht="15.75" customHeight="1">
      <c r="A27" s="24"/>
      <c r="B27" s="87"/>
      <c r="C27" s="170"/>
      <c r="D27" s="7"/>
      <c r="E27" s="32"/>
      <c r="F27" s="39">
        <f>IF(C26=100%,"","ERROR - CROP ROTATION  MUST TOTAL 100%")</f>
      </c>
      <c r="G27" s="32"/>
      <c r="H27" s="32"/>
      <c r="I27" s="38"/>
      <c r="J27" s="38"/>
    </row>
    <row r="28" spans="1:11" s="8" customFormat="1" ht="18.75">
      <c r="A28" s="88" t="s">
        <v>20</v>
      </c>
      <c r="B28" s="87"/>
      <c r="C28" s="22">
        <f>IF(C26&lt;&gt;100%,"ERROR",SUM((D28*$D$26)+(E28*$E$26)+(F28*$F$26)+(G28*$G$26)+(H28*$H$26)+(I28*$I$26)+(J28*$J$26)))</f>
        <v>388.4</v>
      </c>
      <c r="D28" s="27">
        <f aca="true" t="shared" si="0" ref="D28:I28">SUM(D22*D24)</f>
        <v>430</v>
      </c>
      <c r="E28" s="25">
        <f t="shared" si="0"/>
        <v>343.75</v>
      </c>
      <c r="F28" s="25">
        <f t="shared" si="0"/>
        <v>375</v>
      </c>
      <c r="G28" s="25">
        <f t="shared" si="0"/>
        <v>414</v>
      </c>
      <c r="H28" s="25">
        <f t="shared" si="0"/>
        <v>510</v>
      </c>
      <c r="I28" s="26">
        <f t="shared" si="0"/>
        <v>280</v>
      </c>
      <c r="J28" s="26">
        <f>SUM(J22*J24)</f>
        <v>320</v>
      </c>
      <c r="K28" s="9"/>
    </row>
    <row r="29" spans="1:11" s="3" customFormat="1" ht="15.75" customHeight="1">
      <c r="A29" s="41"/>
      <c r="B29" s="90"/>
      <c r="C29" s="41"/>
      <c r="D29" s="41"/>
      <c r="E29" s="41"/>
      <c r="F29" s="41"/>
      <c r="G29" s="41"/>
      <c r="H29" s="41"/>
      <c r="I29" s="171"/>
      <c r="J29" s="171"/>
      <c r="K29" s="142"/>
    </row>
    <row r="30" spans="1:10" s="9" customFormat="1" ht="18">
      <c r="A30" s="140" t="s">
        <v>44</v>
      </c>
      <c r="B30" s="141"/>
      <c r="C30" s="120"/>
      <c r="D30" s="144"/>
      <c r="E30" s="145"/>
      <c r="F30" s="146"/>
      <c r="G30" s="147"/>
      <c r="H30" s="147"/>
      <c r="I30" s="148"/>
      <c r="J30" s="148"/>
    </row>
    <row r="31" spans="1:10" s="9" customFormat="1" ht="18.75">
      <c r="A31" s="144"/>
      <c r="B31" s="89" t="s">
        <v>45</v>
      </c>
      <c r="C31" s="149">
        <f>IF(C26&lt;&gt;100%,"ERROR",SUM($F$11*C28))</f>
        <v>69.91199999999999</v>
      </c>
      <c r="D31" s="25">
        <f aca="true" t="shared" si="1" ref="D31:J31">SUM($F$11*D28)</f>
        <v>77.39999999999999</v>
      </c>
      <c r="E31" s="25">
        <f t="shared" si="1"/>
        <v>61.875</v>
      </c>
      <c r="F31" s="25">
        <f t="shared" si="1"/>
        <v>67.5</v>
      </c>
      <c r="G31" s="25">
        <f t="shared" si="1"/>
        <v>74.52</v>
      </c>
      <c r="H31" s="25">
        <f t="shared" si="1"/>
        <v>91.8</v>
      </c>
      <c r="I31" s="26">
        <f t="shared" si="1"/>
        <v>50.4</v>
      </c>
      <c r="J31" s="26">
        <f t="shared" si="1"/>
        <v>57.599999999999994</v>
      </c>
    </row>
    <row r="32" spans="1:10" s="9" customFormat="1" ht="7.5" customHeight="1">
      <c r="A32" s="144"/>
      <c r="B32" s="87"/>
      <c r="C32" s="120"/>
      <c r="D32" s="144"/>
      <c r="E32" s="145"/>
      <c r="F32" s="146"/>
      <c r="G32" s="147"/>
      <c r="H32" s="147"/>
      <c r="I32" s="148"/>
      <c r="J32" s="148"/>
    </row>
    <row r="33" spans="1:10" s="9" customFormat="1" ht="18.75">
      <c r="A33" s="144"/>
      <c r="B33" s="89" t="s">
        <v>46</v>
      </c>
      <c r="C33" s="149">
        <f>IF(C26&lt;&gt;100%,"ERROR",SUM(C31*$F$12))</f>
        <v>209.736</v>
      </c>
      <c r="D33" s="25">
        <f aca="true" t="shared" si="2" ref="D33:J33">SUM(D31*$F$12)</f>
        <v>232.2</v>
      </c>
      <c r="E33" s="25">
        <f t="shared" si="2"/>
        <v>185.625</v>
      </c>
      <c r="F33" s="25">
        <f t="shared" si="2"/>
        <v>202.5</v>
      </c>
      <c r="G33" s="25">
        <f t="shared" si="2"/>
        <v>223.56</v>
      </c>
      <c r="H33" s="25">
        <f t="shared" si="2"/>
        <v>275.4</v>
      </c>
      <c r="I33" s="26">
        <f t="shared" si="2"/>
        <v>151.2</v>
      </c>
      <c r="J33" s="26">
        <f t="shared" si="2"/>
        <v>172.79999999999998</v>
      </c>
    </row>
    <row r="34" spans="1:10" s="9" customFormat="1" ht="7.5" customHeight="1">
      <c r="A34" s="24"/>
      <c r="B34" s="87"/>
      <c r="C34" s="24"/>
      <c r="D34" s="150"/>
      <c r="E34" s="150"/>
      <c r="F34" s="150"/>
      <c r="G34" s="150"/>
      <c r="H34" s="150"/>
      <c r="I34" s="151"/>
      <c r="J34" s="151"/>
    </row>
    <row r="35" spans="1:10" s="9" customFormat="1" ht="18.75">
      <c r="A35" s="24"/>
      <c r="B35" s="89" t="s">
        <v>47</v>
      </c>
      <c r="C35" s="152">
        <f>IF(C26&lt;&gt;100%,"ERROR",-PV($F$13,$F$14,C31*$F$12,0,0))</f>
        <v>2559.245354936887</v>
      </c>
      <c r="D35" s="153">
        <f aca="true" t="shared" si="3" ref="D35:J35">-PV($F$13,$F$14,D31*$F$12,0,0)</f>
        <v>2833.356082963083</v>
      </c>
      <c r="E35" s="153">
        <f t="shared" si="3"/>
        <v>2265.0375663222317</v>
      </c>
      <c r="F35" s="153">
        <f t="shared" si="3"/>
        <v>2470.9500723515257</v>
      </c>
      <c r="G35" s="153">
        <f t="shared" si="3"/>
        <v>2727.928879876084</v>
      </c>
      <c r="H35" s="153">
        <f t="shared" si="3"/>
        <v>3360.4920983980746</v>
      </c>
      <c r="I35" s="154">
        <f t="shared" si="3"/>
        <v>1844.9760540224722</v>
      </c>
      <c r="J35" s="154">
        <f t="shared" si="3"/>
        <v>2108.544061739968</v>
      </c>
    </row>
    <row r="36" spans="1:10" s="9" customFormat="1" ht="7.5" customHeight="1">
      <c r="A36" s="24"/>
      <c r="B36" s="87"/>
      <c r="C36" s="24"/>
      <c r="D36" s="155"/>
      <c r="E36" s="155"/>
      <c r="F36" s="155"/>
      <c r="G36" s="155"/>
      <c r="H36" s="155"/>
      <c r="I36" s="156"/>
      <c r="J36" s="156"/>
    </row>
    <row r="37" spans="1:10" s="9" customFormat="1" ht="18.75">
      <c r="A37" s="24"/>
      <c r="B37" s="89" t="s">
        <v>47</v>
      </c>
      <c r="C37" s="152">
        <f>IF(C26&lt;&gt;100%,"ERROR",-PV($F$13+$F$15,$F$14,C31*$F$12,0,0))</f>
        <v>2098.0999754790414</v>
      </c>
      <c r="D37" s="153">
        <f aca="true" t="shared" si="4" ref="D37:J37">-PV($F$13+$F$15,$F$14,D31*$F$12,0,0)</f>
        <v>2322.8192313490936</v>
      </c>
      <c r="E37" s="153">
        <f t="shared" si="4"/>
        <v>1856.9049087819785</v>
      </c>
      <c r="F37" s="153">
        <f t="shared" si="4"/>
        <v>2025.7144459439767</v>
      </c>
      <c r="G37" s="153">
        <f t="shared" si="4"/>
        <v>2236.3887483221506</v>
      </c>
      <c r="H37" s="153">
        <f t="shared" si="4"/>
        <v>2754.9716464838084</v>
      </c>
      <c r="I37" s="154">
        <f t="shared" si="4"/>
        <v>1512.5334529715024</v>
      </c>
      <c r="J37" s="154">
        <f t="shared" si="4"/>
        <v>1728.60966053886</v>
      </c>
    </row>
    <row r="38" spans="1:10" s="9" customFormat="1" ht="15.75" customHeight="1">
      <c r="A38" s="41"/>
      <c r="B38" s="190" t="str">
        <f>"  (with "&amp;F15*100&amp;"% Increased Mortgage Rate = "&amp;Input!F53+Input!F55&amp;"% APR)"</f>
        <v>  (with 2.5% Increased Mortgage Rate = 7.75% APR)</v>
      </c>
      <c r="C38" s="41"/>
      <c r="D38" s="157"/>
      <c r="E38" s="157"/>
      <c r="F38" s="157"/>
      <c r="G38" s="157"/>
      <c r="H38" s="157"/>
      <c r="I38" s="158"/>
      <c r="J38" s="158"/>
    </row>
    <row r="39" spans="1:10" ht="18" customHeight="1">
      <c r="A39" s="408" t="str">
        <f>"Land Value Based on Estimated Gross Revenue &amp; Fair Market Land Rental = $"&amp;TEXT(ROUND(C35,0),"#,###")&amp;" per Acre."</f>
        <v>Land Value Based on Estimated Gross Revenue &amp; Fair Market Land Rental = $2,559 per Acre.</v>
      </c>
      <c r="B39" s="409"/>
      <c r="C39" s="409"/>
      <c r="D39" s="409"/>
      <c r="E39" s="409"/>
      <c r="F39" s="409"/>
      <c r="G39" s="409"/>
      <c r="H39" s="409"/>
      <c r="I39" s="409"/>
      <c r="J39" s="410"/>
    </row>
    <row r="40" spans="1:10" s="9" customFormat="1" ht="7.5" customHeight="1">
      <c r="A40" s="4"/>
      <c r="B40" s="1"/>
      <c r="C40" s="7"/>
      <c r="D40" s="10"/>
      <c r="E40" s="10"/>
      <c r="F40" s="10"/>
      <c r="G40" s="10"/>
      <c r="H40" s="10"/>
      <c r="I40" s="10"/>
      <c r="J40" s="49"/>
    </row>
    <row r="41" spans="1:10" s="9" customFormat="1" ht="15.75" customHeight="1">
      <c r="A41" s="4"/>
      <c r="B41" s="1"/>
      <c r="C41" s="7"/>
      <c r="D41" s="10"/>
      <c r="E41" s="10"/>
      <c r="F41" s="10"/>
      <c r="G41" s="10"/>
      <c r="H41" s="10"/>
      <c r="I41" s="10"/>
      <c r="J41" s="49"/>
    </row>
    <row r="42" spans="1:10" s="9" customFormat="1" ht="15" customHeight="1">
      <c r="A42" s="13" t="s">
        <v>48</v>
      </c>
      <c r="B42" s="7"/>
      <c r="C42" s="7"/>
      <c r="D42" s="10"/>
      <c r="E42" s="10"/>
      <c r="F42" s="10"/>
      <c r="G42" s="10"/>
      <c r="H42" s="10"/>
      <c r="I42" s="10"/>
      <c r="J42" s="49"/>
    </row>
    <row r="43" ht="15" customHeight="1">
      <c r="A43" s="13" t="s">
        <v>49</v>
      </c>
    </row>
    <row r="44" ht="15" customHeight="1">
      <c r="A44" s="13" t="s">
        <v>50</v>
      </c>
    </row>
    <row r="45" ht="15" customHeight="1">
      <c r="A45" s="159" t="s">
        <v>51</v>
      </c>
    </row>
    <row r="46" ht="15.75" customHeight="1">
      <c r="A46" s="159"/>
    </row>
    <row r="47" spans="1:13" s="3" customFormat="1" ht="18" customHeight="1">
      <c r="A47" s="394" t="str">
        <f>Input!C14&amp;" - "&amp;Input!B14&amp;" Average Values"</f>
        <v>10 year - Manitoba Average Values</v>
      </c>
      <c r="B47" s="395"/>
      <c r="C47" s="395"/>
      <c r="D47" s="397"/>
      <c r="E47" s="397"/>
      <c r="F47" s="397"/>
      <c r="G47" s="397"/>
      <c r="H47" s="397"/>
      <c r="I47" s="397"/>
      <c r="J47" s="398"/>
      <c r="K47" s="1"/>
      <c r="L47" s="1"/>
      <c r="M47" s="1"/>
    </row>
    <row r="48" spans="1:10" s="3" customFormat="1" ht="33.75" customHeight="1">
      <c r="A48" s="99" t="s">
        <v>33</v>
      </c>
      <c r="B48" s="91"/>
      <c r="C48" s="28" t="s">
        <v>8</v>
      </c>
      <c r="D48" s="164" t="str">
        <f>Input!D12</f>
        <v>Canola</v>
      </c>
      <c r="E48" s="164" t="str">
        <f>Input!E12</f>
        <v>Wheat</v>
      </c>
      <c r="F48" s="164" t="str">
        <f>Input!F12</f>
        <v>Winter Wheat</v>
      </c>
      <c r="G48" s="164" t="str">
        <f>Input!G12</f>
        <v>Soy-beans</v>
      </c>
      <c r="H48" s="164" t="str">
        <f>Input!H12</f>
        <v>Corn</v>
      </c>
      <c r="I48" s="164" t="str">
        <f>Input!I12</f>
        <v>Barley</v>
      </c>
      <c r="J48" s="164" t="str">
        <f>Input!J12</f>
        <v>Oats</v>
      </c>
    </row>
    <row r="49" spans="1:10" s="3" customFormat="1" ht="7.5" customHeight="1">
      <c r="A49" s="88"/>
      <c r="B49" s="40"/>
      <c r="C49" s="124"/>
      <c r="D49" s="23"/>
      <c r="E49" s="23"/>
      <c r="F49" s="23"/>
      <c r="G49" s="23"/>
      <c r="H49" s="23"/>
      <c r="I49" s="20"/>
      <c r="J49" s="20"/>
    </row>
    <row r="50" spans="1:10" s="3" customFormat="1" ht="15.75">
      <c r="A50" s="24" t="s">
        <v>35</v>
      </c>
      <c r="B50" s="87"/>
      <c r="C50" s="124"/>
      <c r="D50" s="165">
        <f>Input!D16</f>
        <v>10.911649467926463</v>
      </c>
      <c r="E50" s="165">
        <f>Input!E16</f>
        <v>6.90856862745098</v>
      </c>
      <c r="F50" s="165">
        <f>Input!F16</f>
        <v>6.256000000000001</v>
      </c>
      <c r="G50" s="165">
        <f>Input!G16</f>
        <v>10.924914261874985</v>
      </c>
      <c r="H50" s="165">
        <f>Input!H16</f>
        <v>4.680575822294587</v>
      </c>
      <c r="I50" s="165">
        <f>Input!I16</f>
        <v>3.6681610738253356</v>
      </c>
      <c r="J50" s="131">
        <f>Input!J16</f>
        <v>2.9639138026494</v>
      </c>
    </row>
    <row r="51" spans="1:10" s="3" customFormat="1" ht="7.5" customHeight="1">
      <c r="A51" s="24"/>
      <c r="B51" s="87"/>
      <c r="C51" s="124"/>
      <c r="D51" s="44"/>
      <c r="E51" s="44"/>
      <c r="F51" s="44"/>
      <c r="G51" s="44"/>
      <c r="H51" s="44"/>
      <c r="I51" s="46"/>
      <c r="J51" s="46"/>
    </row>
    <row r="52" spans="1:10" s="3" customFormat="1" ht="15.75">
      <c r="A52" s="24" t="s">
        <v>10</v>
      </c>
      <c r="B52" s="87"/>
      <c r="C52" s="124"/>
      <c r="D52" s="166">
        <f>Input!D18</f>
        <v>36.1</v>
      </c>
      <c r="E52" s="166">
        <f>Input!E18</f>
        <v>48.4</v>
      </c>
      <c r="F52" s="166">
        <f>Input!F18</f>
        <v>64</v>
      </c>
      <c r="G52" s="166">
        <f>Input!G18</f>
        <v>34.6</v>
      </c>
      <c r="H52" s="166">
        <f>Input!H18</f>
        <v>113.4</v>
      </c>
      <c r="I52" s="166">
        <f>Input!I18</f>
        <v>62.9</v>
      </c>
      <c r="J52" s="167">
        <f>Input!J18</f>
        <v>91.4</v>
      </c>
    </row>
    <row r="53" spans="1:10" s="3" customFormat="1" ht="7.5" customHeight="1">
      <c r="A53" s="88"/>
      <c r="B53" s="89"/>
      <c r="C53" s="124"/>
      <c r="D53" s="30"/>
      <c r="E53" s="30"/>
      <c r="F53" s="30"/>
      <c r="G53" s="30"/>
      <c r="H53" s="30"/>
      <c r="I53" s="36"/>
      <c r="J53" s="36"/>
    </row>
    <row r="54" spans="1:10" s="3" customFormat="1" ht="15.75">
      <c r="A54" s="88" t="s">
        <v>5</v>
      </c>
      <c r="B54" s="87"/>
      <c r="C54" s="21">
        <f>SUM(D54:J54)</f>
        <v>1</v>
      </c>
      <c r="D54" s="168">
        <f>Input!D20</f>
        <v>0.4</v>
      </c>
      <c r="E54" s="168">
        <f>Input!E20</f>
        <v>0.4</v>
      </c>
      <c r="F54" s="168">
        <f>Input!F20</f>
        <v>0.1</v>
      </c>
      <c r="G54" s="168">
        <f>Input!G20</f>
        <v>0.1</v>
      </c>
      <c r="H54" s="168">
        <f>Input!H20</f>
        <v>0</v>
      </c>
      <c r="I54" s="168">
        <f>Input!I20</f>
        <v>0</v>
      </c>
      <c r="J54" s="169">
        <f>Input!J20</f>
        <v>0</v>
      </c>
    </row>
    <row r="55" spans="1:10" s="3" customFormat="1" ht="15.75" customHeight="1">
      <c r="A55" s="24"/>
      <c r="B55" s="87"/>
      <c r="C55" s="170"/>
      <c r="D55" s="7"/>
      <c r="E55" s="32"/>
      <c r="F55" s="39">
        <f>IF(C54=100%,"","ERROR - CROP ROTATION  MUST TOTAL 100%")</f>
      </c>
      <c r="G55" s="32"/>
      <c r="H55" s="32"/>
      <c r="I55" s="38"/>
      <c r="J55" s="38"/>
    </row>
    <row r="56" spans="1:11" s="8" customFormat="1" ht="18.75">
      <c r="A56" s="88" t="s">
        <v>20</v>
      </c>
      <c r="B56" s="87"/>
      <c r="C56" s="22">
        <f>IF(C54&lt;&gt;100%,"ERROR",SUM((D56*$D$26)+(E56*$E$26)+(F56*$F$26)+(G56*$G$26)+(H56*$H$26)+(I56*$I$26)+(J56*$J$26)))</f>
        <v>369.15271029039667</v>
      </c>
      <c r="D56" s="27">
        <f aca="true" t="shared" si="5" ref="D56:I56">SUM(D50*D52)</f>
        <v>393.91054579214534</v>
      </c>
      <c r="E56" s="25">
        <f t="shared" si="5"/>
        <v>334.3747215686274</v>
      </c>
      <c r="F56" s="25">
        <f t="shared" si="5"/>
        <v>400.38400000000007</v>
      </c>
      <c r="G56" s="25">
        <f t="shared" si="5"/>
        <v>378.0020334608745</v>
      </c>
      <c r="H56" s="25">
        <f t="shared" si="5"/>
        <v>530.7772982482062</v>
      </c>
      <c r="I56" s="26">
        <f t="shared" si="5"/>
        <v>230.72733154361362</v>
      </c>
      <c r="J56" s="26">
        <f>SUM(J50*J52)</f>
        <v>270.90172156215516</v>
      </c>
      <c r="K56" s="9"/>
    </row>
    <row r="57" spans="1:11" s="3" customFormat="1" ht="15.75" customHeight="1">
      <c r="A57" s="41"/>
      <c r="B57" s="90"/>
      <c r="C57" s="41"/>
      <c r="D57" s="41"/>
      <c r="E57" s="41"/>
      <c r="F57" s="41"/>
      <c r="G57" s="41"/>
      <c r="H57" s="41"/>
      <c r="I57" s="171"/>
      <c r="J57" s="171"/>
      <c r="K57" s="142"/>
    </row>
    <row r="58" spans="1:10" s="9" customFormat="1" ht="18">
      <c r="A58" s="140" t="s">
        <v>44</v>
      </c>
      <c r="B58" s="141"/>
      <c r="C58" s="120"/>
      <c r="D58" s="144"/>
      <c r="E58" s="145"/>
      <c r="F58" s="146"/>
      <c r="G58" s="147"/>
      <c r="H58" s="147"/>
      <c r="I58" s="148"/>
      <c r="J58" s="148"/>
    </row>
    <row r="59" spans="1:10" s="9" customFormat="1" ht="18.75">
      <c r="A59" s="144"/>
      <c r="B59" s="89" t="s">
        <v>45</v>
      </c>
      <c r="C59" s="149">
        <f>IF(C54&lt;&gt;100%,"ERROR",SUM($F$11*C56))</f>
        <v>66.4474878522714</v>
      </c>
      <c r="D59" s="25">
        <f aca="true" t="shared" si="6" ref="D59:J59">SUM($F$11*D56)</f>
        <v>70.90389824258615</v>
      </c>
      <c r="E59" s="25">
        <f t="shared" si="6"/>
        <v>60.18744988235294</v>
      </c>
      <c r="F59" s="25">
        <f t="shared" si="6"/>
        <v>72.06912000000001</v>
      </c>
      <c r="G59" s="25">
        <f t="shared" si="6"/>
        <v>68.0403660229574</v>
      </c>
      <c r="H59" s="25">
        <f t="shared" si="6"/>
        <v>95.53991368467712</v>
      </c>
      <c r="I59" s="26">
        <f t="shared" si="6"/>
        <v>41.53091967785045</v>
      </c>
      <c r="J59" s="26">
        <f t="shared" si="6"/>
        <v>48.762309881187925</v>
      </c>
    </row>
    <row r="60" spans="1:10" s="9" customFormat="1" ht="7.5" customHeight="1">
      <c r="A60" s="144"/>
      <c r="B60" s="87"/>
      <c r="C60" s="120"/>
      <c r="D60" s="144"/>
      <c r="E60" s="145"/>
      <c r="F60" s="146"/>
      <c r="G60" s="147"/>
      <c r="H60" s="147"/>
      <c r="I60" s="148"/>
      <c r="J60" s="148"/>
    </row>
    <row r="61" spans="1:10" s="9" customFormat="1" ht="18.75">
      <c r="A61" s="144"/>
      <c r="B61" s="89" t="s">
        <v>46</v>
      </c>
      <c r="C61" s="149">
        <f>IF(C54&lt;&gt;100%,"ERROR",SUM(C59*$F$12))</f>
        <v>199.34246355681418</v>
      </c>
      <c r="D61" s="25">
        <f aca="true" t="shared" si="7" ref="D61:J61">SUM(D59*$F$12)</f>
        <v>212.71169472775847</v>
      </c>
      <c r="E61" s="25">
        <f t="shared" si="7"/>
        <v>180.5623496470588</v>
      </c>
      <c r="F61" s="25">
        <f t="shared" si="7"/>
        <v>216.20736000000005</v>
      </c>
      <c r="G61" s="25">
        <f t="shared" si="7"/>
        <v>204.1210980688722</v>
      </c>
      <c r="H61" s="25">
        <f t="shared" si="7"/>
        <v>286.61974105403135</v>
      </c>
      <c r="I61" s="26">
        <f t="shared" si="7"/>
        <v>124.59275903355135</v>
      </c>
      <c r="J61" s="26">
        <f t="shared" si="7"/>
        <v>146.28692964356378</v>
      </c>
    </row>
    <row r="62" spans="1:10" s="9" customFormat="1" ht="7.5" customHeight="1">
      <c r="A62" s="24"/>
      <c r="B62" s="87"/>
      <c r="C62" s="24"/>
      <c r="D62" s="150"/>
      <c r="E62" s="150"/>
      <c r="F62" s="150"/>
      <c r="G62" s="150"/>
      <c r="H62" s="150"/>
      <c r="I62" s="151"/>
      <c r="J62" s="151"/>
    </row>
    <row r="63" spans="1:10" s="9" customFormat="1" ht="18.75">
      <c r="A63" s="24"/>
      <c r="B63" s="89" t="s">
        <v>47</v>
      </c>
      <c r="C63" s="152">
        <f>IF(C54&lt;&gt;100%,"ERROR",-PV($F$13,$F$14,C59*$F$12,0,0))</f>
        <v>2432.421109868846</v>
      </c>
      <c r="D63" s="153">
        <f aca="true" t="shared" si="8" ref="D63:J63">-PV($F$13,$F$14,D59*$F$12,0,0)</f>
        <v>2595.555444333681</v>
      </c>
      <c r="E63" s="153">
        <f t="shared" si="8"/>
        <v>2203.26197987339</v>
      </c>
      <c r="F63" s="153">
        <f t="shared" si="8"/>
        <v>2638.2103300490494</v>
      </c>
      <c r="G63" s="153">
        <f t="shared" si="8"/>
        <v>2490.731071811124</v>
      </c>
      <c r="H63" s="153">
        <f t="shared" si="8"/>
        <v>3497.397876023873</v>
      </c>
      <c r="I63" s="154">
        <f t="shared" si="8"/>
        <v>1520.3085775231104</v>
      </c>
      <c r="J63" s="154">
        <f t="shared" si="8"/>
        <v>1785.025675984427</v>
      </c>
    </row>
    <row r="64" spans="1:10" s="9" customFormat="1" ht="7.5" customHeight="1">
      <c r="A64" s="24"/>
      <c r="B64" s="87"/>
      <c r="C64" s="24"/>
      <c r="D64" s="155"/>
      <c r="E64" s="155"/>
      <c r="F64" s="155"/>
      <c r="G64" s="155"/>
      <c r="H64" s="155"/>
      <c r="I64" s="156"/>
      <c r="J64" s="156"/>
    </row>
    <row r="65" spans="1:10" s="9" customFormat="1" ht="18.75">
      <c r="A65" s="24"/>
      <c r="B65" s="89" t="s">
        <v>47</v>
      </c>
      <c r="C65" s="152">
        <f>IF(C54&lt;&gt;100%,"ERROR",-PV($F$13+$F$15,$F$14,C59*$F$12,0,0))</f>
        <v>1994.1279413190084</v>
      </c>
      <c r="D65" s="153">
        <f aca="true" t="shared" si="9" ref="D65:J65">-PV($F$13+$F$15,$F$14,D59*$F$12,0,0)</f>
        <v>2127.867421388867</v>
      </c>
      <c r="E65" s="153">
        <f t="shared" si="9"/>
        <v>1806.260543573503</v>
      </c>
      <c r="F65" s="153">
        <f t="shared" si="9"/>
        <v>2162.8364072662225</v>
      </c>
      <c r="G65" s="153">
        <f t="shared" si="9"/>
        <v>2041.9311460743784</v>
      </c>
      <c r="H65" s="153">
        <f t="shared" si="9"/>
        <v>2867.208641708016</v>
      </c>
      <c r="I65" s="154">
        <f t="shared" si="9"/>
        <v>1246.3671695520093</v>
      </c>
      <c r="J65" s="154">
        <f t="shared" si="9"/>
        <v>1463.3854154654682</v>
      </c>
    </row>
    <row r="66" spans="1:10" s="9" customFormat="1" ht="15.75" customHeight="1">
      <c r="A66" s="41"/>
      <c r="B66" s="190" t="str">
        <f>"  ("&amp;F15*100&amp;"% Increased Mortgage Rate = "&amp;Input!F53+Input!F55&amp;"% APR)"</f>
        <v>  (2.5% Increased Mortgage Rate = 7.75% APR)</v>
      </c>
      <c r="C66" s="41"/>
      <c r="D66" s="157"/>
      <c r="E66" s="157"/>
      <c r="F66" s="157"/>
      <c r="G66" s="157"/>
      <c r="H66" s="157"/>
      <c r="I66" s="158"/>
      <c r="J66" s="158"/>
    </row>
    <row r="67" spans="1:10" ht="18" customHeight="1">
      <c r="A67" s="408" t="str">
        <f>"Land Value Based on Estimated Gross Revenue &amp; Fair Market Land Rental = $"&amp;TEXT(ROUND(C63,0),"#,###")&amp;" per Acre."</f>
        <v>Land Value Based on Estimated Gross Revenue &amp; Fair Market Land Rental = $2,432 per Acre.</v>
      </c>
      <c r="B67" s="409"/>
      <c r="C67" s="409"/>
      <c r="D67" s="409"/>
      <c r="E67" s="409"/>
      <c r="F67" s="409"/>
      <c r="G67" s="409"/>
      <c r="H67" s="409"/>
      <c r="I67" s="409"/>
      <c r="J67" s="410"/>
    </row>
    <row r="68" ht="15.75" customHeight="1"/>
    <row r="69" spans="1:10" s="6" customFormat="1" ht="18" customHeight="1">
      <c r="A69" s="405" t="s">
        <v>223</v>
      </c>
      <c r="B69" s="405"/>
      <c r="C69" s="405"/>
      <c r="D69" s="405"/>
      <c r="E69" s="405"/>
      <c r="F69" s="405"/>
      <c r="G69" s="405"/>
      <c r="H69" s="405"/>
      <c r="I69" s="405"/>
      <c r="J69" s="51"/>
    </row>
    <row r="70" spans="1:10" s="6" customFormat="1" ht="18" customHeight="1">
      <c r="A70" s="405"/>
      <c r="B70" s="405"/>
      <c r="C70" s="405"/>
      <c r="D70" s="405"/>
      <c r="E70" s="405"/>
      <c r="F70" s="405"/>
      <c r="G70" s="405"/>
      <c r="H70" s="405"/>
      <c r="I70" s="405"/>
      <c r="J70" s="51"/>
    </row>
    <row r="71" spans="1:10" s="6" customFormat="1" ht="18">
      <c r="A71" s="405"/>
      <c r="B71" s="405"/>
      <c r="C71" s="405"/>
      <c r="D71" s="405"/>
      <c r="E71" s="405"/>
      <c r="F71" s="405"/>
      <c r="G71" s="405"/>
      <c r="H71" s="405"/>
      <c r="I71" s="405"/>
      <c r="J71" s="51"/>
    </row>
    <row r="72" spans="1:10" s="18" customFormat="1" ht="7.5" customHeight="1">
      <c r="A72" s="366"/>
      <c r="B72" s="318"/>
      <c r="C72" s="318"/>
      <c r="D72" s="318"/>
      <c r="E72" s="318"/>
      <c r="F72" s="318"/>
      <c r="G72" s="53"/>
      <c r="H72" s="53"/>
      <c r="I72" s="53"/>
      <c r="J72" s="53"/>
    </row>
    <row r="73" spans="1:16" s="18" customFormat="1" ht="14.25" customHeight="1">
      <c r="A73" s="52" t="s">
        <v>9</v>
      </c>
      <c r="B73" s="52"/>
      <c r="C73" s="52"/>
      <c r="E73" s="367"/>
      <c r="F73" s="367"/>
      <c r="G73" s="367"/>
      <c r="H73" s="368"/>
      <c r="I73" s="369" t="str">
        <f>Intro!I11</f>
        <v>Date: April,</v>
      </c>
      <c r="J73" s="370">
        <f>Intro!J11</f>
        <v>2017</v>
      </c>
      <c r="K73" s="371"/>
      <c r="L73" s="371"/>
      <c r="N73" s="372"/>
      <c r="O73" s="310"/>
      <c r="P73" s="310"/>
    </row>
    <row r="74" spans="1:16" s="18" customFormat="1" ht="15" customHeight="1">
      <c r="A74" s="373" t="s">
        <v>3</v>
      </c>
      <c r="B74" s="374"/>
      <c r="C74" s="374"/>
      <c r="D74" s="374"/>
      <c r="N74" s="372"/>
      <c r="O74" s="310"/>
      <c r="P74" s="310"/>
    </row>
    <row r="75" spans="1:10" s="17" customFormat="1" ht="15.75">
      <c r="A75" s="19" t="s">
        <v>4</v>
      </c>
      <c r="C75" s="54"/>
      <c r="D75" s="19" t="s">
        <v>124</v>
      </c>
      <c r="E75" s="54"/>
      <c r="F75" s="54"/>
      <c r="G75" s="57"/>
      <c r="H75" s="319" t="s">
        <v>31</v>
      </c>
      <c r="I75" s="54"/>
      <c r="J75" s="54"/>
    </row>
    <row r="76" spans="1:10" s="5" customFormat="1" ht="14.25">
      <c r="A76" s="56" t="s">
        <v>222</v>
      </c>
      <c r="C76" s="55"/>
      <c r="D76" s="56" t="s">
        <v>222</v>
      </c>
      <c r="E76" s="55"/>
      <c r="F76" s="55"/>
      <c r="G76" s="55"/>
      <c r="H76" s="56" t="s">
        <v>222</v>
      </c>
      <c r="I76" s="55"/>
      <c r="J76" s="55"/>
    </row>
    <row r="77" ht="18">
      <c r="B77" s="2"/>
    </row>
    <row r="78" ht="18">
      <c r="B78" s="2"/>
    </row>
    <row r="80" ht="7.5" customHeight="1"/>
    <row r="85" ht="7.5" customHeight="1"/>
    <row r="87" spans="1:22" s="3" customFormat="1" ht="18" customHeight="1">
      <c r="A87" s="4"/>
      <c r="B87" s="4"/>
      <c r="C87" s="4"/>
      <c r="D87" s="4"/>
      <c r="E87" s="4"/>
      <c r="F87" s="4"/>
      <c r="G87" s="4"/>
      <c r="H87" s="4"/>
      <c r="I87" s="4"/>
      <c r="J87" s="50"/>
      <c r="K87" s="2"/>
      <c r="L87" s="2"/>
      <c r="M87" s="2"/>
      <c r="N87" s="2"/>
      <c r="O87" s="2"/>
      <c r="P87" s="2"/>
      <c r="Q87" s="2"/>
      <c r="R87" s="2"/>
      <c r="S87" s="2"/>
      <c r="T87" s="2"/>
      <c r="U87" s="2"/>
      <c r="V87" s="2"/>
    </row>
  </sheetData>
  <sheetProtection password="C6A6" sheet="1" objects="1" scenarios="1"/>
  <mergeCells count="6">
    <mergeCell ref="A5:I7"/>
    <mergeCell ref="A69:I71"/>
    <mergeCell ref="A19:J19"/>
    <mergeCell ref="A39:J39"/>
    <mergeCell ref="A47:J47"/>
    <mergeCell ref="A67:J67"/>
  </mergeCells>
  <hyperlinks>
    <hyperlink ref="A75" r:id="rId1" display="Roy Arnott"/>
    <hyperlink ref="H75" r:id="rId2" display="Bob Gwyer"/>
  </hyperlinks>
  <printOptions horizontalCentered="1"/>
  <pageMargins left="0.5511811023622047" right="0.5511811023622047" top="0.7874015748031497" bottom="0.7874015748031497" header="0.5118110236220472" footer="0.5118110236220472"/>
  <pageSetup firstPageNumber="5" useFirstPageNumber="1" fitToHeight="2" horizontalDpi="600" verticalDpi="600" orientation="portrait" pageOrder="overThenDown" scale="80" r:id="rId6"/>
  <headerFooter scaleWithDoc="0" alignWithMargins="0">
    <oddHeader>&amp;L&amp;9Guidelines: Crop Land Purchase Values&amp;R&amp;P</oddHeader>
    <oddFooter>&amp;R&amp;9Manitoba Agriculture</oddFooter>
  </headerFooter>
  <rowBreaks count="1" manualBreakCount="1">
    <brk id="45" max="9" man="1"/>
  </rowBreaks>
  <ignoredErrors>
    <ignoredError sqref="D22:J26" unlockedFormula="1"/>
  </ignoredErrors>
  <drawing r:id="rId5"/>
  <legacyDrawing r:id="rId4"/>
</worksheet>
</file>

<file path=xl/worksheets/sheet5.xml><?xml version="1.0" encoding="utf-8"?>
<worksheet xmlns="http://schemas.openxmlformats.org/spreadsheetml/2006/main" xmlns:r="http://schemas.openxmlformats.org/officeDocument/2006/relationships">
  <sheetPr codeName="Sheet6"/>
  <dimension ref="A1:V32"/>
  <sheetViews>
    <sheetView showGridLines="0" workbookViewId="0" topLeftCell="A1">
      <selection activeCell="A1" sqref="A1"/>
    </sheetView>
  </sheetViews>
  <sheetFormatPr defaultColWidth="10.28125" defaultRowHeight="12.75"/>
  <cols>
    <col min="1" max="1" width="3.421875" style="4" customWidth="1"/>
    <col min="2" max="2" width="26.57421875" style="4" customWidth="1"/>
    <col min="3" max="9" width="10.7109375" style="4" customWidth="1"/>
    <col min="10" max="10" width="10.7109375" style="50" customWidth="1"/>
    <col min="11" max="11" width="2.28125" style="2" customWidth="1"/>
    <col min="12" max="16384" width="10.28125" style="2" customWidth="1"/>
  </cols>
  <sheetData>
    <row r="1" spans="1:6" s="13" customFormat="1" ht="27" customHeight="1">
      <c r="A1" s="11"/>
      <c r="B1" s="11"/>
      <c r="C1" s="12"/>
      <c r="D1" s="12"/>
      <c r="E1" s="12"/>
      <c r="F1" s="12"/>
    </row>
    <row r="2" spans="1:6" s="13" customFormat="1" ht="27">
      <c r="A2" s="14" t="s">
        <v>7</v>
      </c>
      <c r="B2" s="11"/>
      <c r="C2" s="12"/>
      <c r="D2" s="12"/>
      <c r="E2" s="12"/>
      <c r="F2" s="12"/>
    </row>
    <row r="3" spans="1:10" s="13" customFormat="1" ht="18">
      <c r="A3" s="15" t="s">
        <v>138</v>
      </c>
      <c r="B3" s="11"/>
      <c r="C3" s="12"/>
      <c r="D3" s="12"/>
      <c r="I3" s="16" t="s">
        <v>2</v>
      </c>
      <c r="J3" s="42">
        <f ca="1">TODAY()</f>
        <v>42802</v>
      </c>
    </row>
    <row r="4" spans="1:9" s="13" customFormat="1" ht="7.5" customHeight="1">
      <c r="A4" s="15"/>
      <c r="B4" s="11"/>
      <c r="C4" s="12"/>
      <c r="D4" s="12"/>
      <c r="H4" s="16"/>
      <c r="I4" s="42"/>
    </row>
    <row r="5" spans="1:10" s="13" customFormat="1" ht="15.75" customHeight="1">
      <c r="A5" s="403" t="s">
        <v>67</v>
      </c>
      <c r="B5" s="404"/>
      <c r="C5" s="404"/>
      <c r="D5" s="404"/>
      <c r="E5" s="404"/>
      <c r="F5" s="404"/>
      <c r="G5" s="404"/>
      <c r="H5" s="404"/>
      <c r="I5" s="404"/>
      <c r="J5" s="404"/>
    </row>
    <row r="6" spans="1:10" s="13" customFormat="1" ht="15.75" customHeight="1">
      <c r="A6" s="404"/>
      <c r="B6" s="404"/>
      <c r="C6" s="404"/>
      <c r="D6" s="404"/>
      <c r="E6" s="404"/>
      <c r="F6" s="404"/>
      <c r="G6" s="404"/>
      <c r="H6" s="404"/>
      <c r="I6" s="404"/>
      <c r="J6" s="404"/>
    </row>
    <row r="7" spans="1:10" s="13" customFormat="1" ht="15.75" customHeight="1">
      <c r="A7" s="404"/>
      <c r="B7" s="404"/>
      <c r="C7" s="404"/>
      <c r="D7" s="404"/>
      <c r="E7" s="404"/>
      <c r="F7" s="404"/>
      <c r="G7" s="404"/>
      <c r="H7" s="404"/>
      <c r="I7" s="404"/>
      <c r="J7" s="404"/>
    </row>
    <row r="8" spans="1:9" s="13" customFormat="1" ht="15.75" customHeight="1">
      <c r="A8" s="289"/>
      <c r="B8" s="289"/>
      <c r="C8" s="289"/>
      <c r="D8" s="289"/>
      <c r="E8" s="289"/>
      <c r="F8" s="289"/>
      <c r="G8" s="289"/>
      <c r="H8" s="289"/>
      <c r="I8" s="289"/>
    </row>
    <row r="9" spans="1:9" ht="15" customHeight="1">
      <c r="A9" s="13"/>
      <c r="B9" s="7"/>
      <c r="C9" s="7"/>
      <c r="D9" s="7"/>
      <c r="E9" s="7"/>
      <c r="F9" s="7"/>
      <c r="G9" s="7"/>
      <c r="H9" s="7"/>
      <c r="I9" s="7"/>
    </row>
    <row r="10" spans="2:10" s="290" customFormat="1" ht="18" customHeight="1">
      <c r="B10" s="411" t="s">
        <v>131</v>
      </c>
      <c r="C10" s="411"/>
      <c r="D10" s="411"/>
      <c r="E10" s="411"/>
      <c r="F10" s="411"/>
      <c r="G10" s="411"/>
      <c r="H10" s="411"/>
      <c r="I10" s="411"/>
      <c r="J10" s="411"/>
    </row>
    <row r="11" spans="2:10" s="290" customFormat="1" ht="18" customHeight="1">
      <c r="B11" s="291"/>
      <c r="C11" s="291"/>
      <c r="D11" s="291"/>
      <c r="E11" s="291"/>
      <c r="F11" s="291"/>
      <c r="G11" s="291"/>
      <c r="H11" s="291"/>
      <c r="I11" s="291"/>
      <c r="J11" s="291"/>
    </row>
    <row r="12" spans="1:9" s="7" customFormat="1" ht="15.75" customHeight="1">
      <c r="A12" s="107"/>
      <c r="B12" s="107"/>
      <c r="C12" s="106" t="s">
        <v>139</v>
      </c>
      <c r="D12" s="107"/>
      <c r="E12" s="107"/>
      <c r="G12" s="110">
        <f>Input!F62</f>
        <v>70</v>
      </c>
      <c r="H12" s="4" t="s">
        <v>25</v>
      </c>
      <c r="I12" s="107"/>
    </row>
    <row r="13" spans="1:9" s="7" customFormat="1" ht="15.75" customHeight="1">
      <c r="A13" s="107"/>
      <c r="B13" s="297" t="s">
        <v>26</v>
      </c>
      <c r="C13" s="106" t="s">
        <v>133</v>
      </c>
      <c r="D13" s="107"/>
      <c r="E13" s="107"/>
      <c r="G13" s="110">
        <f>Input!F63</f>
        <v>12</v>
      </c>
      <c r="H13" s="4" t="s">
        <v>25</v>
      </c>
      <c r="I13" s="107"/>
    </row>
    <row r="14" spans="1:9" s="7" customFormat="1" ht="15.75" customHeight="1">
      <c r="A14" s="107"/>
      <c r="B14" s="298" t="s">
        <v>142</v>
      </c>
      <c r="C14" s="294" t="s">
        <v>132</v>
      </c>
      <c r="D14" s="236"/>
      <c r="E14" s="236"/>
      <c r="F14" s="299"/>
      <c r="G14" s="300">
        <f>Input!F64</f>
        <v>2.25</v>
      </c>
      <c r="H14" s="107" t="s">
        <v>15</v>
      </c>
      <c r="I14" s="107"/>
    </row>
    <row r="15" spans="1:9" s="7" customFormat="1" ht="15.75" customHeight="1">
      <c r="A15" s="107"/>
      <c r="B15" s="292"/>
      <c r="C15" s="295" t="s">
        <v>143</v>
      </c>
      <c r="D15" s="107"/>
      <c r="E15" s="107"/>
      <c r="F15" s="293"/>
      <c r="G15" s="248">
        <f>SUM(G12-G13)/(G14/100)</f>
        <v>2577.777777777778</v>
      </c>
      <c r="H15" s="296" t="s">
        <v>25</v>
      </c>
      <c r="I15" s="107"/>
    </row>
    <row r="16" spans="1:9" s="7" customFormat="1" ht="15.75" customHeight="1">
      <c r="A16" s="107"/>
      <c r="B16" s="292"/>
      <c r="C16" s="295"/>
      <c r="D16" s="107"/>
      <c r="E16" s="107"/>
      <c r="F16" s="293"/>
      <c r="G16" s="109"/>
      <c r="H16" s="4"/>
      <c r="I16" s="107"/>
    </row>
    <row r="17" ht="15.75" customHeight="1"/>
    <row r="18" spans="1:10" s="6" customFormat="1" ht="18" customHeight="1">
      <c r="A18" s="405" t="s">
        <v>223</v>
      </c>
      <c r="B18" s="405"/>
      <c r="C18" s="405"/>
      <c r="D18" s="405"/>
      <c r="E18" s="405"/>
      <c r="F18" s="405"/>
      <c r="G18" s="405"/>
      <c r="H18" s="405"/>
      <c r="I18" s="405"/>
      <c r="J18" s="51"/>
    </row>
    <row r="19" spans="1:10" s="6" customFormat="1" ht="18" customHeight="1">
      <c r="A19" s="405"/>
      <c r="B19" s="405"/>
      <c r="C19" s="405"/>
      <c r="D19" s="405"/>
      <c r="E19" s="405"/>
      <c r="F19" s="405"/>
      <c r="G19" s="405"/>
      <c r="H19" s="405"/>
      <c r="I19" s="405"/>
      <c r="J19" s="51"/>
    </row>
    <row r="20" spans="1:10" s="6" customFormat="1" ht="18">
      <c r="A20" s="405"/>
      <c r="B20" s="405"/>
      <c r="C20" s="405"/>
      <c r="D20" s="405"/>
      <c r="E20" s="405"/>
      <c r="F20" s="405"/>
      <c r="G20" s="405"/>
      <c r="H20" s="405"/>
      <c r="I20" s="405"/>
      <c r="J20" s="51"/>
    </row>
    <row r="21" spans="1:10" s="18" customFormat="1" ht="7.5" customHeight="1">
      <c r="A21" s="366"/>
      <c r="B21" s="318"/>
      <c r="C21" s="318"/>
      <c r="D21" s="318"/>
      <c r="E21" s="318"/>
      <c r="F21" s="318"/>
      <c r="G21" s="53"/>
      <c r="H21" s="53"/>
      <c r="I21" s="53"/>
      <c r="J21" s="53"/>
    </row>
    <row r="22" spans="1:16" s="18" customFormat="1" ht="14.25" customHeight="1">
      <c r="A22" s="52" t="s">
        <v>9</v>
      </c>
      <c r="B22" s="52"/>
      <c r="C22" s="52"/>
      <c r="E22" s="367"/>
      <c r="F22" s="367"/>
      <c r="G22" s="367"/>
      <c r="H22" s="368"/>
      <c r="I22" s="369" t="str">
        <f>Intro!I11</f>
        <v>Date: April,</v>
      </c>
      <c r="J22" s="370">
        <f>Intro!J11</f>
        <v>2017</v>
      </c>
      <c r="K22" s="371"/>
      <c r="L22" s="371"/>
      <c r="N22" s="372"/>
      <c r="O22" s="310"/>
      <c r="P22" s="310"/>
    </row>
    <row r="23" spans="1:16" s="18" customFormat="1" ht="15" customHeight="1">
      <c r="A23" s="373" t="s">
        <v>3</v>
      </c>
      <c r="B23" s="374"/>
      <c r="C23" s="374"/>
      <c r="D23" s="374"/>
      <c r="N23" s="372"/>
      <c r="O23" s="310"/>
      <c r="P23" s="310"/>
    </row>
    <row r="24" spans="1:10" s="17" customFormat="1" ht="15.75">
      <c r="A24" s="19" t="s">
        <v>4</v>
      </c>
      <c r="C24" s="54"/>
      <c r="D24" s="19" t="s">
        <v>124</v>
      </c>
      <c r="E24" s="54"/>
      <c r="F24" s="54"/>
      <c r="G24" s="57"/>
      <c r="H24" s="319" t="s">
        <v>31</v>
      </c>
      <c r="I24" s="54"/>
      <c r="J24" s="54"/>
    </row>
    <row r="25" spans="1:10" s="5" customFormat="1" ht="14.25">
      <c r="A25" s="56" t="s">
        <v>222</v>
      </c>
      <c r="C25" s="55"/>
      <c r="D25" s="56" t="s">
        <v>222</v>
      </c>
      <c r="E25" s="55"/>
      <c r="F25" s="55"/>
      <c r="G25" s="55"/>
      <c r="H25" s="56" t="s">
        <v>222</v>
      </c>
      <c r="I25" s="55"/>
      <c r="J25" s="55"/>
    </row>
    <row r="27" ht="7.5" customHeight="1"/>
    <row r="28" ht="18">
      <c r="E28" s="17"/>
    </row>
    <row r="29" ht="18">
      <c r="E29" s="5"/>
    </row>
    <row r="30" ht="7.5" customHeight="1"/>
    <row r="32" spans="1:22" s="3" customFormat="1" ht="18" customHeight="1">
      <c r="A32" s="4"/>
      <c r="B32" s="4"/>
      <c r="C32" s="4"/>
      <c r="D32" s="4"/>
      <c r="E32" s="4"/>
      <c r="F32" s="4"/>
      <c r="G32" s="4"/>
      <c r="H32" s="4"/>
      <c r="I32" s="4"/>
      <c r="J32" s="50"/>
      <c r="K32" s="2"/>
      <c r="L32" s="2"/>
      <c r="M32" s="2"/>
      <c r="N32" s="2"/>
      <c r="O32" s="2"/>
      <c r="P32" s="2"/>
      <c r="Q32" s="2"/>
      <c r="R32" s="2"/>
      <c r="S32" s="2"/>
      <c r="T32" s="2"/>
      <c r="U32" s="2"/>
      <c r="V32" s="2"/>
    </row>
  </sheetData>
  <sheetProtection password="C6A6" sheet="1" objects="1" scenarios="1"/>
  <mergeCells count="3">
    <mergeCell ref="A5:J7"/>
    <mergeCell ref="B10:J10"/>
    <mergeCell ref="A18:I20"/>
  </mergeCells>
  <hyperlinks>
    <hyperlink ref="A24" r:id="rId1" display="Roy Arnott"/>
    <hyperlink ref="H24" r:id="rId2" display="Bob Gwyer"/>
  </hyperlinks>
  <printOptions horizontalCentered="1"/>
  <pageMargins left="0.5511811023622047" right="0.5511811023622047" top="0.7874015748031497" bottom="0.7874015748031497" header="0.5118110236220472" footer="0.5118110236220472"/>
  <pageSetup firstPageNumber="7" useFirstPageNumber="1" fitToHeight="2" horizontalDpi="600" verticalDpi="600" orientation="portrait" pageOrder="overThenDown" scale="80" r:id="rId4"/>
  <headerFooter scaleWithDoc="0" alignWithMargins="0">
    <oddHeader>&amp;LGuidelines: Crop Land Purchase Values&amp;R&amp;P</oddHeader>
    <oddFooter>&amp;R&amp;9Manitoba Agriculture</oddFooter>
  </headerFooter>
  <drawing r:id="rId3"/>
</worksheet>
</file>

<file path=xl/worksheets/sheet6.xml><?xml version="1.0" encoding="utf-8"?>
<worksheet xmlns="http://schemas.openxmlformats.org/spreadsheetml/2006/main" xmlns:r="http://schemas.openxmlformats.org/officeDocument/2006/relationships">
  <sheetPr codeName="Sheet3">
    <pageSetUpPr fitToPage="1"/>
  </sheetPr>
  <dimension ref="A1:V67"/>
  <sheetViews>
    <sheetView showGridLines="0" workbookViewId="0" topLeftCell="A1">
      <selection activeCell="A1" sqref="A1"/>
    </sheetView>
  </sheetViews>
  <sheetFormatPr defaultColWidth="10.28125" defaultRowHeight="12.75"/>
  <cols>
    <col min="1" max="1" width="3.421875" style="4" customWidth="1"/>
    <col min="2" max="2" width="28.421875" style="4" customWidth="1"/>
    <col min="3" max="9" width="10.7109375" style="4" customWidth="1"/>
    <col min="10" max="10" width="10.7109375" style="50" customWidth="1"/>
    <col min="11" max="11" width="2.28125" style="2" customWidth="1"/>
    <col min="12" max="16384" width="10.28125" style="2" customWidth="1"/>
  </cols>
  <sheetData>
    <row r="1" spans="1:6" s="13" customFormat="1" ht="27" customHeight="1">
      <c r="A1" s="11"/>
      <c r="B1" s="11"/>
      <c r="C1" s="12"/>
      <c r="D1" s="12"/>
      <c r="E1" s="12"/>
      <c r="F1" s="12"/>
    </row>
    <row r="2" spans="1:6" s="13" customFormat="1" ht="27">
      <c r="A2" s="14" t="s">
        <v>7</v>
      </c>
      <c r="B2" s="11"/>
      <c r="C2" s="12"/>
      <c r="D2" s="12"/>
      <c r="E2" s="12"/>
      <c r="F2" s="12"/>
    </row>
    <row r="3" spans="1:10" s="13" customFormat="1" ht="17.25">
      <c r="A3" s="126" t="s">
        <v>65</v>
      </c>
      <c r="B3" s="11"/>
      <c r="C3" s="12"/>
      <c r="D3" s="12"/>
      <c r="I3" s="16" t="s">
        <v>2</v>
      </c>
      <c r="J3" s="42">
        <f ca="1">TODAY()</f>
        <v>42802</v>
      </c>
    </row>
    <row r="4" spans="1:9" s="13" customFormat="1" ht="7.5" customHeight="1">
      <c r="A4" s="15"/>
      <c r="B4" s="11"/>
      <c r="C4" s="12"/>
      <c r="D4" s="12"/>
      <c r="H4" s="16"/>
      <c r="I4" s="42"/>
    </row>
    <row r="5" spans="1:10" s="13" customFormat="1" ht="15.75" customHeight="1">
      <c r="A5" s="403" t="s">
        <v>67</v>
      </c>
      <c r="B5" s="404"/>
      <c r="C5" s="404"/>
      <c r="D5" s="404"/>
      <c r="E5" s="404"/>
      <c r="F5" s="404"/>
      <c r="G5" s="404"/>
      <c r="H5" s="404"/>
      <c r="I5" s="404"/>
      <c r="J5" s="404"/>
    </row>
    <row r="6" spans="1:10" s="13" customFormat="1" ht="15.75" customHeight="1">
      <c r="A6" s="404"/>
      <c r="B6" s="404"/>
      <c r="C6" s="404"/>
      <c r="D6" s="404"/>
      <c r="E6" s="404"/>
      <c r="F6" s="404"/>
      <c r="G6" s="404"/>
      <c r="H6" s="404"/>
      <c r="I6" s="404"/>
      <c r="J6" s="404"/>
    </row>
    <row r="7" spans="1:10" s="13" customFormat="1" ht="15.75" customHeight="1">
      <c r="A7" s="404"/>
      <c r="B7" s="404"/>
      <c r="C7" s="404"/>
      <c r="D7" s="404"/>
      <c r="E7" s="404"/>
      <c r="F7" s="404"/>
      <c r="G7" s="404"/>
      <c r="H7" s="404"/>
      <c r="I7" s="404"/>
      <c r="J7" s="404"/>
    </row>
    <row r="8" spans="1:9" s="13" customFormat="1" ht="15.75" customHeight="1">
      <c r="A8" s="58"/>
      <c r="B8" s="58"/>
      <c r="C8" s="58"/>
      <c r="D8" s="58"/>
      <c r="E8" s="58"/>
      <c r="F8" s="58"/>
      <c r="G8" s="58"/>
      <c r="H8" s="58"/>
      <c r="I8" s="58"/>
    </row>
    <row r="9" spans="1:17" s="3" customFormat="1" ht="18" customHeight="1">
      <c r="A9" s="406" t="str">
        <f>Intro!J11&amp;" Crop Basket on Your Farm (Average Yield &amp; Projected Crop Prices) &amp; "&amp;Intro!J11&amp;" Operating Costs"</f>
        <v>2017 Crop Basket on Your Farm (Average Yield &amp; Projected Crop Prices) &amp; 2017 Operating Costs</v>
      </c>
      <c r="B9" s="407"/>
      <c r="C9" s="407"/>
      <c r="D9" s="407"/>
      <c r="E9" s="407"/>
      <c r="F9" s="407"/>
      <c r="G9" s="407"/>
      <c r="H9" s="407"/>
      <c r="I9" s="407"/>
      <c r="J9" s="407"/>
      <c r="K9" s="1"/>
      <c r="L9" s="96"/>
      <c r="M9" s="60"/>
      <c r="N9" s="60"/>
      <c r="O9" s="60"/>
      <c r="P9" s="60"/>
      <c r="Q9" s="60"/>
    </row>
    <row r="10" spans="1:17" s="3" customFormat="1" ht="33.75" customHeight="1">
      <c r="A10" s="99" t="s">
        <v>33</v>
      </c>
      <c r="B10" s="91"/>
      <c r="C10" s="92" t="s">
        <v>8</v>
      </c>
      <c r="D10" s="93" t="str">
        <f>Input!D12</f>
        <v>Canola</v>
      </c>
      <c r="E10" s="93" t="str">
        <f>Input!E12</f>
        <v>Wheat</v>
      </c>
      <c r="F10" s="93" t="str">
        <f>Input!F12</f>
        <v>Winter Wheat</v>
      </c>
      <c r="G10" s="93" t="str">
        <f>Input!G12</f>
        <v>Soy-beans</v>
      </c>
      <c r="H10" s="93" t="str">
        <f>Input!H12</f>
        <v>Corn</v>
      </c>
      <c r="I10" s="93" t="str">
        <f>Input!I12</f>
        <v>Barley</v>
      </c>
      <c r="J10" s="93" t="str">
        <f>Input!J12</f>
        <v>Oats</v>
      </c>
      <c r="K10" s="4"/>
      <c r="L10" s="97"/>
      <c r="M10" s="60"/>
      <c r="N10" s="60"/>
      <c r="O10" s="60"/>
      <c r="P10" s="60"/>
      <c r="Q10" s="60"/>
    </row>
    <row r="11" spans="1:17" s="3" customFormat="1" ht="7.5" customHeight="1">
      <c r="A11" s="103"/>
      <c r="B11" s="193"/>
      <c r="C11" s="104"/>
      <c r="D11" s="104"/>
      <c r="E11" s="104"/>
      <c r="F11" s="104"/>
      <c r="G11" s="112"/>
      <c r="H11" s="104"/>
      <c r="I11" s="104"/>
      <c r="J11" s="104"/>
      <c r="K11" s="4"/>
      <c r="L11" s="60"/>
      <c r="M11" s="60"/>
      <c r="N11" s="60"/>
      <c r="O11" s="60"/>
      <c r="P11" s="60"/>
      <c r="Q11" s="60"/>
    </row>
    <row r="12" spans="1:17" s="3" customFormat="1" ht="15.75">
      <c r="A12" s="212"/>
      <c r="B12" s="213" t="s">
        <v>35</v>
      </c>
      <c r="C12" s="20"/>
      <c r="D12" s="36">
        <f>Input!D27</f>
        <v>10.75</v>
      </c>
      <c r="E12" s="36">
        <f>Input!E27</f>
        <v>6.25</v>
      </c>
      <c r="F12" s="36">
        <f>Input!F27</f>
        <v>5</v>
      </c>
      <c r="G12" s="36">
        <f>Input!G27</f>
        <v>11.5</v>
      </c>
      <c r="H12" s="36">
        <f>Input!H27</f>
        <v>4.25</v>
      </c>
      <c r="I12" s="36">
        <f>Input!I27</f>
        <v>3.5</v>
      </c>
      <c r="J12" s="36">
        <f>Input!J27</f>
        <v>3.2</v>
      </c>
      <c r="K12" s="4"/>
      <c r="L12" s="96"/>
      <c r="M12" s="60"/>
      <c r="N12" s="60"/>
      <c r="O12" s="60"/>
      <c r="P12" s="60"/>
      <c r="Q12" s="60"/>
    </row>
    <row r="13" spans="1:17" s="3" customFormat="1" ht="15.75">
      <c r="A13" s="214" t="s">
        <v>22</v>
      </c>
      <c r="B13" s="213" t="s">
        <v>10</v>
      </c>
      <c r="C13" s="20"/>
      <c r="D13" s="218">
        <f>Input!D29</f>
        <v>40</v>
      </c>
      <c r="E13" s="218">
        <f>Input!E29</f>
        <v>55</v>
      </c>
      <c r="F13" s="218">
        <f>Input!F29</f>
        <v>75</v>
      </c>
      <c r="G13" s="218">
        <f>Input!G29</f>
        <v>36</v>
      </c>
      <c r="H13" s="218">
        <f>Input!H29</f>
        <v>120</v>
      </c>
      <c r="I13" s="218">
        <f>Input!I29</f>
        <v>80</v>
      </c>
      <c r="J13" s="218">
        <f>Input!J29</f>
        <v>100</v>
      </c>
      <c r="K13" s="4"/>
      <c r="L13" s="399"/>
      <c r="M13" s="401"/>
      <c r="N13" s="401"/>
      <c r="O13" s="401"/>
      <c r="P13" s="401"/>
      <c r="Q13" s="401"/>
    </row>
    <row r="14" spans="1:17" s="3" customFormat="1" ht="15.75">
      <c r="A14" s="214" t="s">
        <v>22</v>
      </c>
      <c r="B14" s="213" t="s">
        <v>5</v>
      </c>
      <c r="C14" s="21">
        <f>SUM(D14:J14)</f>
        <v>1</v>
      </c>
      <c r="D14" s="21">
        <f>Input!D20</f>
        <v>0.4</v>
      </c>
      <c r="E14" s="21">
        <f>Input!E20</f>
        <v>0.4</v>
      </c>
      <c r="F14" s="21">
        <f>Input!F20</f>
        <v>0.1</v>
      </c>
      <c r="G14" s="21">
        <f>Input!G20</f>
        <v>0.1</v>
      </c>
      <c r="H14" s="21">
        <f>Input!H20</f>
        <v>0</v>
      </c>
      <c r="I14" s="21">
        <f>Input!I20</f>
        <v>0</v>
      </c>
      <c r="J14" s="21">
        <f>Input!J20</f>
        <v>0</v>
      </c>
      <c r="K14" s="4"/>
      <c r="L14" s="96"/>
      <c r="M14" s="60"/>
      <c r="N14" s="60"/>
      <c r="O14" s="60"/>
      <c r="P14" s="60"/>
      <c r="Q14" s="60"/>
    </row>
    <row r="15" spans="1:17" s="3" customFormat="1" ht="7.5" customHeight="1">
      <c r="A15" s="214"/>
      <c r="B15" s="213"/>
      <c r="C15" s="21"/>
      <c r="D15" s="21"/>
      <c r="E15" s="21"/>
      <c r="F15" s="21"/>
      <c r="G15" s="21"/>
      <c r="H15" s="21"/>
      <c r="I15" s="21"/>
      <c r="J15" s="21"/>
      <c r="K15" s="4"/>
      <c r="L15" s="96"/>
      <c r="M15" s="60"/>
      <c r="N15" s="60"/>
      <c r="O15" s="60"/>
      <c r="P15" s="60"/>
      <c r="Q15" s="60"/>
    </row>
    <row r="16" spans="1:17" s="8" customFormat="1" ht="15.75" customHeight="1">
      <c r="A16" s="215" t="s">
        <v>23</v>
      </c>
      <c r="B16" s="213" t="s">
        <v>82</v>
      </c>
      <c r="C16" s="22">
        <f>IF(C14&lt;&gt;100%,"ERROR",SUM((D16*D14)+(E16*E14)+(F16*F14)+(G16*G14)+(H16*H14)+(J16*I14)+(I16*J14)))</f>
        <v>388.4</v>
      </c>
      <c r="D16" s="26">
        <f aca="true" t="shared" si="0" ref="D16:J16">SUM(D12*D13)</f>
        <v>430</v>
      </c>
      <c r="E16" s="26">
        <f t="shared" si="0"/>
        <v>343.75</v>
      </c>
      <c r="F16" s="26">
        <f t="shared" si="0"/>
        <v>375</v>
      </c>
      <c r="G16" s="26">
        <f t="shared" si="0"/>
        <v>414</v>
      </c>
      <c r="H16" s="26">
        <f t="shared" si="0"/>
        <v>510</v>
      </c>
      <c r="I16" s="26">
        <f t="shared" si="0"/>
        <v>280</v>
      </c>
      <c r="J16" s="26">
        <f t="shared" si="0"/>
        <v>320</v>
      </c>
      <c r="K16" s="7"/>
      <c r="L16" s="60"/>
      <c r="M16" s="60"/>
      <c r="N16" s="60"/>
      <c r="O16" s="60"/>
      <c r="P16" s="60"/>
      <c r="Q16" s="60"/>
    </row>
    <row r="17" spans="1:17" s="8" customFormat="1" ht="7.5" customHeight="1">
      <c r="A17" s="211"/>
      <c r="B17" s="101"/>
      <c r="C17" s="22"/>
      <c r="D17" s="26"/>
      <c r="E17" s="26"/>
      <c r="F17" s="26"/>
      <c r="G17" s="26"/>
      <c r="H17" s="26"/>
      <c r="I17" s="26"/>
      <c r="J17" s="26"/>
      <c r="K17" s="7"/>
      <c r="L17" s="60"/>
      <c r="M17" s="60"/>
      <c r="N17" s="60"/>
      <c r="O17" s="60"/>
      <c r="P17" s="60"/>
      <c r="Q17" s="60"/>
    </row>
    <row r="18" spans="1:17" s="8" customFormat="1" ht="15.75" customHeight="1">
      <c r="A18" s="216" t="s">
        <v>26</v>
      </c>
      <c r="B18" s="217" t="s">
        <v>30</v>
      </c>
      <c r="C18" s="22">
        <f>IF(C14&lt;&gt;100%,"ERROR",SUM((D18*D14)+(E18*E14)+(F18*F14)+(G18*G14)+(H18*H14)+(J18*I14)+(I18*J14)))</f>
        <v>200.719</v>
      </c>
      <c r="D18" s="26">
        <f>Input!D47</f>
        <v>238.08999999999997</v>
      </c>
      <c r="E18" s="26">
        <f>Input!E47</f>
        <v>176.35000000000002</v>
      </c>
      <c r="F18" s="26">
        <f>Input!F47</f>
        <v>166.64</v>
      </c>
      <c r="G18" s="26">
        <f>Input!G47</f>
        <v>182.79</v>
      </c>
      <c r="H18" s="26">
        <f>Input!H47</f>
        <v>295.77</v>
      </c>
      <c r="I18" s="26">
        <f>Input!I47</f>
        <v>160.44</v>
      </c>
      <c r="J18" s="26">
        <f>Input!J47</f>
        <v>135.51999999999998</v>
      </c>
      <c r="K18" s="7"/>
      <c r="L18" s="60"/>
      <c r="M18" s="60"/>
      <c r="N18" s="60"/>
      <c r="O18" s="60"/>
      <c r="P18" s="60"/>
      <c r="Q18" s="60"/>
    </row>
    <row r="19" spans="1:17" s="219" customFormat="1" ht="34.5">
      <c r="A19" s="229" t="s">
        <v>23</v>
      </c>
      <c r="B19" s="230" t="s">
        <v>106</v>
      </c>
      <c r="C19" s="231">
        <f>IF(C14&lt;&gt;100%,"ERROR",SUM((D19*D14)+(E19*E14)+(F19*F14)+(G19*G14)+(H19*H14)+(J19*I14)+(I19*J14)))</f>
        <v>187.681</v>
      </c>
      <c r="D19" s="231">
        <f aca="true" t="shared" si="1" ref="D19:J19">SUM(D16-D18)</f>
        <v>191.91000000000003</v>
      </c>
      <c r="E19" s="231">
        <f t="shared" si="1"/>
        <v>167.39999999999998</v>
      </c>
      <c r="F19" s="231">
        <f t="shared" si="1"/>
        <v>208.36</v>
      </c>
      <c r="G19" s="231">
        <f t="shared" si="1"/>
        <v>231.21</v>
      </c>
      <c r="H19" s="231">
        <f t="shared" si="1"/>
        <v>214.23000000000002</v>
      </c>
      <c r="I19" s="231">
        <f t="shared" si="1"/>
        <v>119.56</v>
      </c>
      <c r="J19" s="231">
        <f t="shared" si="1"/>
        <v>184.48000000000002</v>
      </c>
      <c r="K19" s="1"/>
      <c r="L19" s="96"/>
      <c r="M19" s="96"/>
      <c r="N19" s="96"/>
      <c r="O19" s="96"/>
      <c r="P19" s="96"/>
      <c r="Q19" s="96"/>
    </row>
    <row r="20" spans="1:17" s="8" customFormat="1" ht="7.5" customHeight="1">
      <c r="A20" s="220"/>
      <c r="B20" s="221"/>
      <c r="C20" s="228"/>
      <c r="D20" s="222"/>
      <c r="E20" s="222"/>
      <c r="F20" s="222"/>
      <c r="G20" s="222"/>
      <c r="H20" s="222"/>
      <c r="I20" s="222"/>
      <c r="J20" s="222"/>
      <c r="K20" s="7"/>
      <c r="L20" s="60"/>
      <c r="M20" s="60"/>
      <c r="N20" s="60"/>
      <c r="O20" s="60"/>
      <c r="P20" s="60"/>
      <c r="Q20" s="60"/>
    </row>
    <row r="21" spans="1:17" s="8" customFormat="1" ht="18" customHeight="1">
      <c r="A21" s="216" t="s">
        <v>26</v>
      </c>
      <c r="B21" s="213" t="s">
        <v>111</v>
      </c>
      <c r="C21" s="22">
        <f>IF(C14&lt;&gt;100%,"ERROR",SUM((D21*D14)+(E21*E14)+(F21*F14)+(G21*G14)+(H21*H14)+(J21*I14)+(I21*J14)))</f>
        <v>45</v>
      </c>
      <c r="D21" s="26">
        <f>SUM(Input!$F$73*(Input!$F$74/100))</f>
        <v>45</v>
      </c>
      <c r="E21" s="26">
        <f>SUM(Input!$F$73*(Input!$F$74/100))</f>
        <v>45</v>
      </c>
      <c r="F21" s="26">
        <f>SUM(Input!$F$73*(Input!$F$74/100))</f>
        <v>45</v>
      </c>
      <c r="G21" s="26">
        <f>SUM(Input!$F$73*(Input!$F$74/100))</f>
        <v>45</v>
      </c>
      <c r="H21" s="26">
        <f>SUM(Input!$F$73*(Input!$F$74/100))</f>
        <v>45</v>
      </c>
      <c r="I21" s="26">
        <f>SUM(Input!$F$73*(Input!$F$74/100))</f>
        <v>45</v>
      </c>
      <c r="J21" s="26">
        <f>SUM(Input!$F$73*(Input!$F$74/100))</f>
        <v>45</v>
      </c>
      <c r="K21" s="7"/>
      <c r="L21" s="60"/>
      <c r="M21" s="60"/>
      <c r="N21" s="60"/>
      <c r="O21" s="60"/>
      <c r="P21" s="60"/>
      <c r="Q21" s="60"/>
    </row>
    <row r="22" spans="1:17" s="8" customFormat="1" ht="18" customHeight="1">
      <c r="A22" s="216" t="s">
        <v>26</v>
      </c>
      <c r="B22" s="213" t="s">
        <v>112</v>
      </c>
      <c r="C22" s="22">
        <f>IF(C14&lt;&gt;100%,"ERROR",SUM((D22*D14)+(E22*E14)+(F22*F14)+(G22*G14)+(H22*H14)+(J22*I14)+(I22*J14)))</f>
        <v>11.25</v>
      </c>
      <c r="D22" s="26">
        <f>SUM(Input!$F$73*(Input!$F$75/100))</f>
        <v>11.25</v>
      </c>
      <c r="E22" s="26">
        <f>SUM(Input!$F$73*(Input!$F$75/100))</f>
        <v>11.25</v>
      </c>
      <c r="F22" s="26">
        <f>SUM(Input!$F$73*(Input!$F$75/100))</f>
        <v>11.25</v>
      </c>
      <c r="G22" s="26">
        <f>SUM(Input!$F$73*(Input!$F$75/100))</f>
        <v>11.25</v>
      </c>
      <c r="H22" s="26">
        <f>SUM(Input!$F$73*(Input!$F$75/100))</f>
        <v>11.25</v>
      </c>
      <c r="I22" s="26">
        <f>SUM(Input!$F$73*(Input!$F$75/100))</f>
        <v>11.25</v>
      </c>
      <c r="J22" s="26">
        <f>SUM(Input!$F$73*(Input!$F$75/100))</f>
        <v>11.25</v>
      </c>
      <c r="K22" s="7"/>
      <c r="L22" s="60"/>
      <c r="M22" s="60"/>
      <c r="N22" s="60"/>
      <c r="O22" s="60"/>
      <c r="P22" s="60"/>
      <c r="Q22" s="60"/>
    </row>
    <row r="23" spans="1:17" s="8" customFormat="1" ht="15.75" customHeight="1">
      <c r="A23" s="216" t="s">
        <v>26</v>
      </c>
      <c r="B23" s="213" t="s">
        <v>89</v>
      </c>
      <c r="C23" s="22">
        <f>IF(C14&lt;&gt;100%,"ERROR",SUM((D23*D14)+(E23*E14)+(F23*F14)+(G23*G14)+(H23*H14)+(J23*I14)+(I23*J14)))</f>
        <v>6.7067531250000005</v>
      </c>
      <c r="D23" s="26">
        <f>(((((Input!$F$76*D13)-(Input!$F$76*D13*(Input!$F$74/100)))/20)+((((Input!$F$76*D13)+(Input!$F$76*D13*(Input!$F$74/100)))/2)*(Input!$F$75/100)))*Input!$F$77/100)+(((((Input!$F$78*D13)-(Input!$F$78*D13*(Input!$F$74/100)))/20)+((((Input!$F$78*D13)+(Input!$F$78*D13*(Input!$F$74/100)))/2)*(Input!$F$75/100)))*Input!$F$79/100)</f>
        <v>5.46375</v>
      </c>
      <c r="E23" s="26">
        <f>(((((Input!$F$76*E13)-(Input!$F$76*E13*(Input!$F$74/100)))/20)+((((Input!$F$76*E13)+(Input!$F$76*E13*(Input!$F$74/100)))/2)*(Input!$F$75/100)))*Input!$F$77/100)+(((((Input!$F$78*E13)-(Input!$F$78*E13*(Input!$F$74/100)))/20)+((((Input!$F$78*E13)+(Input!$F$78*E13*(Input!$F$74/100)))/2)*(Input!$F$75/100)))*Input!$F$79/100)</f>
        <v>7.51265625</v>
      </c>
      <c r="F23" s="26">
        <f>(((((Input!$F$76*F13)-(Input!$F$76*F13*(Input!$F$74/100)))/20)+((((Input!$F$76*F13)+(Input!$F$76*F13*(Input!$F$74/100)))/2)*(Input!$F$75/100)))*Input!$F$77/100)+(((((Input!$F$78*F13)-(Input!$F$78*F13*(Input!$F$74/100)))/20)+((((Input!$F$78*F13)+(Input!$F$78*F13*(Input!$F$74/100)))/2)*(Input!$F$75/100)))*Input!$F$79/100)</f>
        <v>10.244531250000001</v>
      </c>
      <c r="G23" s="26">
        <f>(((((Input!$F$76*G13)-(Input!$F$76*G13*(Input!$F$74/100)))/20)+((((Input!$F$76*G13)+(Input!$F$76*G13*(Input!$F$74/100)))/2)*(Input!$F$75/100)))*Input!$F$77/100)+(((((Input!$F$78*G13)-(Input!$F$78*G13*(Input!$F$74/100)))/20)+((((Input!$F$78*G13)+(Input!$F$78*G13*(Input!$F$74/100)))/2)*(Input!$F$75/100)))*Input!$F$79/100)</f>
        <v>4.917375</v>
      </c>
      <c r="H23" s="26">
        <f>(((((Input!$F$76*H13)-(Input!$F$76*H13*(Input!$F$74/100)))/20)+((((Input!$F$76*H13)+(Input!$F$76*H13*(Input!$F$74/100)))/2)*(Input!$F$75/100)))*Input!$F$77/100)+(((((Input!$F$78*H13)-(Input!$F$78*H13*(Input!$F$74/100)))/20)+((((Input!$F$78*H13)+(Input!$F$78*H13*(Input!$F$74/100)))/2)*(Input!$F$75/100)))*Input!$F$79/100)</f>
        <v>16.39125</v>
      </c>
      <c r="I23" s="26">
        <f>(((((Input!$F$76*I13)-(Input!$F$76*I13*(Input!$F$74/100)))/20)+((((Input!$F$76*I13)+(Input!$F$76*I13*(Input!$F$74/100)))/2)*(Input!$F$75/100)))*Input!$F$77/100)+(((((Input!$F$78*I13)-(Input!$F$78*I13*(Input!$F$74/100)))/20)+((((Input!$F$78*I13)+(Input!$F$78*I13*(Input!$F$74/100)))/2)*(Input!$F$75/100)))*Input!$F$79/100)</f>
        <v>10.9275</v>
      </c>
      <c r="J23" s="26">
        <f>(((((Input!$F$76*J13)-(Input!$F$76*J13*(Input!$F$74/100)))/20)+((((Input!$F$76*J13)+(Input!$F$76*J13*(Input!$F$74/100)))/2)*(Input!$F$75/100)))*Input!$F$77/100)+(((((Input!$F$78*J13)-(Input!$F$78*J13*(Input!$F$74/100)))/20)+((((Input!$F$78*J13)+(Input!$F$78*J13*(Input!$F$74/100)))/2)*(Input!$F$75/100)))*Input!$F$79/100)</f>
        <v>13.659375</v>
      </c>
      <c r="K23" s="7"/>
      <c r="L23" s="60"/>
      <c r="M23" s="60"/>
      <c r="N23" s="60"/>
      <c r="O23" s="60"/>
      <c r="P23" s="60"/>
      <c r="Q23" s="60"/>
    </row>
    <row r="24" spans="1:17" s="8" customFormat="1" ht="18.75" customHeight="1">
      <c r="A24" s="216" t="s">
        <v>26</v>
      </c>
      <c r="B24" s="213" t="s">
        <v>115</v>
      </c>
      <c r="C24" s="22">
        <f>IF(C14&lt;&gt;100%,"ERROR",SUM((D24*D14)+(E24*E14)+(F24*F14)+(G24*G14)+(H24*H14)+(J24*I14)+(I24*J14)))</f>
        <v>30</v>
      </c>
      <c r="D24" s="26">
        <f>SUM(Input!$F$81*Input!$F$82)</f>
        <v>30</v>
      </c>
      <c r="E24" s="26">
        <f>SUM(Input!$F$81*Input!$F$82)</f>
        <v>30</v>
      </c>
      <c r="F24" s="26">
        <f>SUM(Input!$F$81*Input!$F$82)</f>
        <v>30</v>
      </c>
      <c r="G24" s="26">
        <f>SUM(Input!$F$81*Input!$F$82)</f>
        <v>30</v>
      </c>
      <c r="H24" s="26">
        <f>SUM(Input!$F$81*Input!$F$82)</f>
        <v>30</v>
      </c>
      <c r="I24" s="26">
        <f>SUM(Input!$F$81*Input!$F$82)</f>
        <v>30</v>
      </c>
      <c r="J24" s="26">
        <f>SUM(Input!$F$81*Input!$F$82)</f>
        <v>30</v>
      </c>
      <c r="K24" s="7"/>
      <c r="L24" s="60"/>
      <c r="M24" s="60"/>
      <c r="N24" s="60"/>
      <c r="O24" s="60"/>
      <c r="P24" s="60"/>
      <c r="Q24" s="60"/>
    </row>
    <row r="25" spans="1:17" s="8" customFormat="1" ht="7.5" customHeight="1">
      <c r="A25" s="223"/>
      <c r="B25" s="224"/>
      <c r="C25" s="227"/>
      <c r="D25" s="225"/>
      <c r="E25" s="225"/>
      <c r="F25" s="225"/>
      <c r="G25" s="225"/>
      <c r="H25" s="225"/>
      <c r="I25" s="225"/>
      <c r="J25" s="225"/>
      <c r="K25" s="7"/>
      <c r="L25" s="60"/>
      <c r="M25" s="60"/>
      <c r="N25" s="60"/>
      <c r="O25" s="60"/>
      <c r="P25" s="60"/>
      <c r="Q25" s="60"/>
    </row>
    <row r="26" spans="1:17" s="8" customFormat="1" ht="7.5" customHeight="1">
      <c r="A26" s="103"/>
      <c r="B26" s="226"/>
      <c r="C26" s="228"/>
      <c r="D26" s="222"/>
      <c r="E26" s="222"/>
      <c r="F26" s="222"/>
      <c r="G26" s="222"/>
      <c r="H26" s="222"/>
      <c r="I26" s="222"/>
      <c r="J26" s="222"/>
      <c r="K26" s="7"/>
      <c r="L26" s="60"/>
      <c r="M26" s="60"/>
      <c r="N26" s="60"/>
      <c r="O26" s="60"/>
      <c r="P26" s="60"/>
      <c r="Q26" s="60"/>
    </row>
    <row r="27" spans="1:17" s="8" customFormat="1" ht="15.75" customHeight="1">
      <c r="A27" s="88" t="s">
        <v>108</v>
      </c>
      <c r="B27" s="101"/>
      <c r="C27" s="22">
        <f>IF(C14&lt;&gt;100%,"ERROR",SUM((D27*D14)+(E27*E14)+(F27*F14)+(G27*G14)+(H27*H14)+(J27*I14)+(I27*J14)))</f>
        <v>94.724246875</v>
      </c>
      <c r="D27" s="22">
        <f aca="true" t="shared" si="2" ref="D27:J27">SUM(D19-D21-D22-D23-D24)</f>
        <v>100.19625000000002</v>
      </c>
      <c r="E27" s="22">
        <f t="shared" si="2"/>
        <v>73.63734374999997</v>
      </c>
      <c r="F27" s="22">
        <f t="shared" si="2"/>
        <v>111.86546875000002</v>
      </c>
      <c r="G27" s="22">
        <f t="shared" si="2"/>
        <v>140.04262500000002</v>
      </c>
      <c r="H27" s="22">
        <f t="shared" si="2"/>
        <v>111.58875</v>
      </c>
      <c r="I27" s="22">
        <f t="shared" si="2"/>
        <v>22.3825</v>
      </c>
      <c r="J27" s="22">
        <f t="shared" si="2"/>
        <v>84.57062500000002</v>
      </c>
      <c r="K27" s="7"/>
      <c r="L27" s="60"/>
      <c r="M27" s="60"/>
      <c r="N27" s="60"/>
      <c r="O27" s="60"/>
      <c r="P27" s="60"/>
      <c r="Q27" s="60"/>
    </row>
    <row r="28" spans="1:17" s="3" customFormat="1" ht="7.5" customHeight="1">
      <c r="A28" s="41"/>
      <c r="B28" s="123"/>
      <c r="C28" s="48"/>
      <c r="D28" s="48"/>
      <c r="E28" s="48"/>
      <c r="F28" s="48"/>
      <c r="G28" s="48"/>
      <c r="H28" s="48"/>
      <c r="I28" s="48"/>
      <c r="J28" s="48"/>
      <c r="K28" s="4"/>
      <c r="L28" s="96"/>
      <c r="M28" s="60"/>
      <c r="N28" s="60"/>
      <c r="O28" s="60"/>
      <c r="P28" s="60"/>
      <c r="Q28" s="60"/>
    </row>
    <row r="29" spans="1:9" s="13" customFormat="1" ht="7.5" customHeight="1">
      <c r="A29" s="192"/>
      <c r="B29" s="192"/>
      <c r="C29" s="192"/>
      <c r="D29" s="192"/>
      <c r="E29" s="192"/>
      <c r="F29" s="192"/>
      <c r="G29" s="192"/>
      <c r="H29" s="192"/>
      <c r="I29" s="192"/>
    </row>
    <row r="30" spans="1:10" s="9" customFormat="1" ht="15" customHeight="1">
      <c r="A30" s="13"/>
      <c r="B30" s="7"/>
      <c r="C30" s="7"/>
      <c r="D30" s="10"/>
      <c r="E30" s="10"/>
      <c r="F30" s="10"/>
      <c r="G30" s="10"/>
      <c r="H30" s="10"/>
      <c r="I30" s="10"/>
      <c r="J30" s="49"/>
    </row>
    <row r="31" spans="1:9" ht="7.5" customHeight="1">
      <c r="A31" s="13"/>
      <c r="B31" s="7"/>
      <c r="C31" s="7"/>
      <c r="D31" s="7"/>
      <c r="E31" s="7"/>
      <c r="F31" s="7"/>
      <c r="G31" s="7"/>
      <c r="H31" s="7"/>
      <c r="I31" s="7"/>
    </row>
    <row r="32" spans="1:9" ht="15.75" customHeight="1">
      <c r="A32" s="13"/>
      <c r="B32" s="7"/>
      <c r="C32" s="7"/>
      <c r="D32" s="235" t="s">
        <v>97</v>
      </c>
      <c r="E32" s="7"/>
      <c r="F32" s="235" t="s">
        <v>96</v>
      </c>
      <c r="G32" s="2"/>
      <c r="I32" s="7"/>
    </row>
    <row r="33" spans="1:9" s="7" customFormat="1" ht="15.75" customHeight="1">
      <c r="A33" s="107"/>
      <c r="B33" s="77" t="s">
        <v>92</v>
      </c>
      <c r="D33" s="233">
        <f>Input!F68</f>
        <v>600</v>
      </c>
      <c r="E33" s="107"/>
      <c r="F33" s="110">
        <v>0</v>
      </c>
      <c r="G33" s="7" t="s">
        <v>100</v>
      </c>
      <c r="I33" s="107"/>
    </row>
    <row r="34" spans="1:9" s="7" customFormat="1" ht="15.75" customHeight="1">
      <c r="A34" s="107"/>
      <c r="B34" s="83" t="s">
        <v>94</v>
      </c>
      <c r="D34" s="237">
        <f>Input!F69</f>
        <v>400</v>
      </c>
      <c r="E34" s="236"/>
      <c r="F34" s="238">
        <f>Input!F70</f>
        <v>64000</v>
      </c>
      <c r="G34" s="7" t="s">
        <v>100</v>
      </c>
      <c r="I34" s="107"/>
    </row>
    <row r="35" spans="1:9" s="7" customFormat="1" ht="15.75" customHeight="1">
      <c r="A35" s="107"/>
      <c r="B35" s="74" t="s">
        <v>98</v>
      </c>
      <c r="C35" s="1"/>
      <c r="D35" s="246">
        <f>SUM(D33:D34)</f>
        <v>1000</v>
      </c>
      <c r="E35" s="247"/>
      <c r="F35" s="248">
        <f>SUM(F33:F34)</f>
        <v>64000</v>
      </c>
      <c r="G35" s="1"/>
      <c r="I35" s="107"/>
    </row>
    <row r="36" spans="1:9" s="7" customFormat="1" ht="15.75" customHeight="1">
      <c r="A36" s="107"/>
      <c r="B36" s="83" t="s">
        <v>95</v>
      </c>
      <c r="D36" s="240">
        <f>Input!F71</f>
        <v>160</v>
      </c>
      <c r="E36" s="236"/>
      <c r="F36" s="234"/>
      <c r="I36" s="107"/>
    </row>
    <row r="37" spans="1:9" s="7" customFormat="1" ht="15.75" customHeight="1">
      <c r="A37" s="107"/>
      <c r="B37" s="74" t="s">
        <v>99</v>
      </c>
      <c r="D37" s="246">
        <f>SUM(D35:D36)</f>
        <v>1160</v>
      </c>
      <c r="E37" s="247" t="s">
        <v>97</v>
      </c>
      <c r="F37" s="109"/>
      <c r="I37" s="107"/>
    </row>
    <row r="38" spans="1:9" s="7" customFormat="1" ht="15.75" customHeight="1">
      <c r="A38" s="107"/>
      <c r="B38" s="74"/>
      <c r="C38" s="244" t="s">
        <v>22</v>
      </c>
      <c r="D38" s="243">
        <f>C27</f>
        <v>94.724246875</v>
      </c>
      <c r="E38" s="106" t="s">
        <v>108</v>
      </c>
      <c r="F38" s="109"/>
      <c r="I38" s="107"/>
    </row>
    <row r="39" spans="1:9" s="7" customFormat="1" ht="15.75" customHeight="1">
      <c r="A39" s="107"/>
      <c r="B39" s="74"/>
      <c r="C39" s="249" t="s">
        <v>23</v>
      </c>
      <c r="D39" s="250">
        <f>SUM(D37*D38)</f>
        <v>109880.126375</v>
      </c>
      <c r="E39" s="251" t="s">
        <v>101</v>
      </c>
      <c r="F39" s="109"/>
      <c r="I39" s="107"/>
    </row>
    <row r="40" spans="1:9" s="7" customFormat="1" ht="15.75" customHeight="1">
      <c r="A40" s="107"/>
      <c r="B40" s="74"/>
      <c r="C40" s="244" t="s">
        <v>26</v>
      </c>
      <c r="D40" s="252">
        <f>F35</f>
        <v>64000</v>
      </c>
      <c r="E40" s="108" t="s">
        <v>102</v>
      </c>
      <c r="F40" s="109"/>
      <c r="I40" s="107"/>
    </row>
    <row r="41" spans="1:9" s="7" customFormat="1" ht="15.75" customHeight="1">
      <c r="A41" s="107"/>
      <c r="B41" s="74"/>
      <c r="C41" s="249" t="s">
        <v>23</v>
      </c>
      <c r="D41" s="250">
        <f>SUM(D39-D40)</f>
        <v>45880.12637500001</v>
      </c>
      <c r="E41" s="251" t="str">
        <f>"P+I Payment for Planned "&amp;D36&amp;" Acres"</f>
        <v>P+I Payment for Planned 160 Acres</v>
      </c>
      <c r="F41" s="109"/>
      <c r="I41" s="107"/>
    </row>
    <row r="42" spans="1:9" s="7" customFormat="1" ht="15.75" customHeight="1">
      <c r="A42" s="107"/>
      <c r="B42" s="74"/>
      <c r="D42" s="239"/>
      <c r="E42" s="107"/>
      <c r="F42" s="109"/>
      <c r="I42" s="107"/>
    </row>
    <row r="43" spans="1:9" s="7" customFormat="1" ht="18" customHeight="1">
      <c r="A43" s="107"/>
      <c r="B43" s="74"/>
      <c r="C43" s="143" t="s">
        <v>23</v>
      </c>
      <c r="D43" s="257">
        <f>IF((-PV(Input!F53/100,Input!F54,D41))/D36&lt;0,0,(-PV(Input!F53/100,Input!F54,D41))/D36)</f>
        <v>3498.9969625247963</v>
      </c>
      <c r="E43" s="258" t="s">
        <v>105</v>
      </c>
      <c r="F43" s="259"/>
      <c r="G43" s="40"/>
      <c r="H43" s="193"/>
      <c r="I43" s="107"/>
    </row>
    <row r="44" spans="1:9" s="7" customFormat="1" ht="18" customHeight="1">
      <c r="A44" s="107"/>
      <c r="B44" s="74"/>
      <c r="C44" s="260"/>
      <c r="D44" s="261"/>
      <c r="E44" s="262" t="str">
        <f>"@ "&amp;Input!F53&amp;"% APR for "&amp;Input!F54&amp;" Years."</f>
        <v>@ 5.25% APR for 20 Years.</v>
      </c>
      <c r="F44" s="263"/>
      <c r="G44" s="264"/>
      <c r="H44" s="265"/>
      <c r="I44" s="107"/>
    </row>
    <row r="45" spans="1:9" s="7" customFormat="1" ht="15.75" customHeight="1">
      <c r="A45" s="107"/>
      <c r="B45" s="74"/>
      <c r="D45" s="239"/>
      <c r="E45" s="107"/>
      <c r="F45" s="109"/>
      <c r="I45" s="107"/>
    </row>
    <row r="46" spans="1:10" s="9" customFormat="1" ht="15" customHeight="1">
      <c r="A46" s="13" t="s">
        <v>24</v>
      </c>
      <c r="B46" s="7"/>
      <c r="C46" s="7"/>
      <c r="D46" s="10"/>
      <c r="E46" s="10"/>
      <c r="F46" s="10"/>
      <c r="G46" s="10"/>
      <c r="H46" s="10"/>
      <c r="I46" s="10"/>
      <c r="J46" s="49"/>
    </row>
    <row r="47" spans="1:10" s="9" customFormat="1" ht="15" customHeight="1">
      <c r="A47" s="13" t="s">
        <v>107</v>
      </c>
      <c r="B47" s="7"/>
      <c r="C47" s="7"/>
      <c r="D47" s="10"/>
      <c r="E47" s="10"/>
      <c r="F47" s="10"/>
      <c r="G47" s="10"/>
      <c r="H47" s="10"/>
      <c r="I47" s="10"/>
      <c r="J47" s="49"/>
    </row>
    <row r="48" spans="1:10" s="9" customFormat="1" ht="15" customHeight="1">
      <c r="A48" s="13" t="s">
        <v>113</v>
      </c>
      <c r="B48" s="7"/>
      <c r="C48" s="7"/>
      <c r="D48" s="10"/>
      <c r="E48" s="10"/>
      <c r="F48" s="10"/>
      <c r="G48" s="10"/>
      <c r="H48" s="10"/>
      <c r="I48" s="10"/>
      <c r="J48" s="49"/>
    </row>
    <row r="49" spans="1:10" s="9" customFormat="1" ht="15" customHeight="1">
      <c r="A49" s="13" t="s">
        <v>114</v>
      </c>
      <c r="B49" s="7"/>
      <c r="C49" s="7"/>
      <c r="D49" s="10"/>
      <c r="E49" s="10"/>
      <c r="F49" s="10"/>
      <c r="G49" s="10"/>
      <c r="H49" s="10"/>
      <c r="I49" s="10"/>
      <c r="J49" s="49"/>
    </row>
    <row r="50" spans="1:10" s="9" customFormat="1" ht="15" customHeight="1">
      <c r="A50" s="13" t="s">
        <v>116</v>
      </c>
      <c r="B50" s="7"/>
      <c r="C50" s="7"/>
      <c r="D50" s="10"/>
      <c r="E50" s="10"/>
      <c r="F50" s="10"/>
      <c r="G50" s="10"/>
      <c r="H50" s="10"/>
      <c r="I50" s="10"/>
      <c r="J50" s="49"/>
    </row>
    <row r="51" ht="15.75" customHeight="1"/>
    <row r="52" spans="1:10" s="6" customFormat="1" ht="18" customHeight="1">
      <c r="A52" s="405" t="s">
        <v>223</v>
      </c>
      <c r="B52" s="405"/>
      <c r="C52" s="405"/>
      <c r="D52" s="405"/>
      <c r="E52" s="405"/>
      <c r="F52" s="405"/>
      <c r="G52" s="405"/>
      <c r="H52" s="405"/>
      <c r="I52" s="405"/>
      <c r="J52" s="51"/>
    </row>
    <row r="53" spans="1:10" s="6" customFormat="1" ht="18" customHeight="1">
      <c r="A53" s="405"/>
      <c r="B53" s="405"/>
      <c r="C53" s="405"/>
      <c r="D53" s="405"/>
      <c r="E53" s="405"/>
      <c r="F53" s="405"/>
      <c r="G53" s="405"/>
      <c r="H53" s="405"/>
      <c r="I53" s="405"/>
      <c r="J53" s="51"/>
    </row>
    <row r="54" spans="1:10" s="6" customFormat="1" ht="18">
      <c r="A54" s="405"/>
      <c r="B54" s="405"/>
      <c r="C54" s="405"/>
      <c r="D54" s="405"/>
      <c r="E54" s="405"/>
      <c r="F54" s="405"/>
      <c r="G54" s="405"/>
      <c r="H54" s="405"/>
      <c r="I54" s="405"/>
      <c r="J54" s="51"/>
    </row>
    <row r="55" spans="1:10" s="18" customFormat="1" ht="7.5" customHeight="1">
      <c r="A55" s="366"/>
      <c r="B55" s="318"/>
      <c r="C55" s="318"/>
      <c r="D55" s="318"/>
      <c r="E55" s="318"/>
      <c r="F55" s="318"/>
      <c r="G55" s="53"/>
      <c r="H55" s="53"/>
      <c r="I55" s="53"/>
      <c r="J55" s="53"/>
    </row>
    <row r="56" spans="1:16" s="18" customFormat="1" ht="14.25" customHeight="1">
      <c r="A56" s="52" t="s">
        <v>9</v>
      </c>
      <c r="B56" s="52"/>
      <c r="C56" s="52"/>
      <c r="E56" s="367"/>
      <c r="F56" s="367"/>
      <c r="G56" s="367"/>
      <c r="H56" s="368"/>
      <c r="I56" s="369" t="str">
        <f>Intro!I11</f>
        <v>Date: April,</v>
      </c>
      <c r="J56" s="370">
        <f>Intro!J11</f>
        <v>2017</v>
      </c>
      <c r="K56" s="371"/>
      <c r="L56" s="371"/>
      <c r="N56" s="372"/>
      <c r="O56" s="310"/>
      <c r="P56" s="310"/>
    </row>
    <row r="57" spans="1:16" s="18" customFormat="1" ht="15" customHeight="1">
      <c r="A57" s="373" t="s">
        <v>3</v>
      </c>
      <c r="B57" s="374"/>
      <c r="C57" s="374"/>
      <c r="D57" s="374"/>
      <c r="N57" s="372"/>
      <c r="O57" s="310"/>
      <c r="P57" s="310"/>
    </row>
    <row r="58" spans="1:10" s="17" customFormat="1" ht="15.75">
      <c r="A58" s="19" t="s">
        <v>4</v>
      </c>
      <c r="C58" s="54"/>
      <c r="D58" s="19" t="s">
        <v>124</v>
      </c>
      <c r="E58" s="54"/>
      <c r="F58" s="54"/>
      <c r="G58" s="57"/>
      <c r="H58" s="319" t="s">
        <v>31</v>
      </c>
      <c r="I58" s="54"/>
      <c r="J58" s="54"/>
    </row>
    <row r="59" spans="1:10" s="5" customFormat="1" ht="14.25">
      <c r="A59" s="56" t="s">
        <v>222</v>
      </c>
      <c r="C59" s="55"/>
      <c r="D59" s="56" t="s">
        <v>222</v>
      </c>
      <c r="E59" s="55"/>
      <c r="F59" s="55"/>
      <c r="G59" s="55"/>
      <c r="H59" s="56" t="s">
        <v>222</v>
      </c>
      <c r="I59" s="55"/>
      <c r="J59" s="55"/>
    </row>
    <row r="62" ht="7.5" customHeight="1"/>
    <row r="64" spans="1:22" s="3" customFormat="1" ht="18" customHeight="1">
      <c r="A64" s="4"/>
      <c r="B64" s="4"/>
      <c r="C64" s="4"/>
      <c r="D64" s="4"/>
      <c r="E64" s="4"/>
      <c r="F64" s="4"/>
      <c r="G64" s="4"/>
      <c r="H64" s="4"/>
      <c r="I64" s="4"/>
      <c r="J64" s="50"/>
      <c r="K64" s="2"/>
      <c r="L64" s="2"/>
      <c r="M64" s="2"/>
      <c r="N64" s="2"/>
      <c r="O64" s="2"/>
      <c r="P64" s="2"/>
      <c r="Q64" s="2"/>
      <c r="R64" s="2"/>
      <c r="S64" s="2"/>
      <c r="T64" s="2"/>
      <c r="U64" s="2"/>
      <c r="V64" s="2"/>
    </row>
    <row r="66" ht="18">
      <c r="B66" s="2"/>
    </row>
    <row r="67" ht="18">
      <c r="B67" s="2"/>
    </row>
  </sheetData>
  <sheetProtection password="C6A6" sheet="1" objects="1" scenarios="1"/>
  <mergeCells count="4">
    <mergeCell ref="A5:J7"/>
    <mergeCell ref="A9:J9"/>
    <mergeCell ref="L13:Q13"/>
    <mergeCell ref="A52:I54"/>
  </mergeCells>
  <hyperlinks>
    <hyperlink ref="A58" r:id="rId1" display="Roy Arnott"/>
    <hyperlink ref="H58" r:id="rId2" display="Bob Gwyer"/>
  </hyperlinks>
  <printOptions horizontalCentered="1"/>
  <pageMargins left="0.5511811023622047" right="0.5511811023622047" top="0.7874015748031497" bottom="0.984251968503937" header="0.5118110236220472" footer="0.5118110236220472"/>
  <pageSetup firstPageNumber="8" useFirstPageNumber="1" fitToHeight="1" fitToWidth="1" horizontalDpi="600" verticalDpi="600" orientation="portrait" pageOrder="overThenDown" scale="75" r:id="rId4"/>
  <headerFooter scaleWithDoc="0" alignWithMargins="0">
    <oddHeader>&amp;LGuidelines: Crop Land Purchase Values&amp;R&amp;P</oddHeader>
    <oddFooter>&amp;R&amp;9Manitoba Agriculture</oddFooter>
  </headerFooter>
  <drawing r:id="rId3"/>
</worksheet>
</file>

<file path=xl/worksheets/sheet7.xml><?xml version="1.0" encoding="utf-8"?>
<worksheet xmlns="http://schemas.openxmlformats.org/spreadsheetml/2006/main" xmlns:r="http://schemas.openxmlformats.org/officeDocument/2006/relationships">
  <sheetPr codeName="Sheet4"/>
  <dimension ref="A1:V90"/>
  <sheetViews>
    <sheetView showGridLines="0" workbookViewId="0" topLeftCell="A1">
      <selection activeCell="A1" sqref="A1"/>
    </sheetView>
  </sheetViews>
  <sheetFormatPr defaultColWidth="10.28125" defaultRowHeight="12.75"/>
  <cols>
    <col min="1" max="1" width="3.421875" style="4" customWidth="1"/>
    <col min="2" max="2" width="28.421875" style="4" customWidth="1"/>
    <col min="3" max="9" width="10.7109375" style="4" customWidth="1"/>
    <col min="10" max="10" width="10.7109375" style="50" customWidth="1"/>
    <col min="11" max="11" width="2.28125" style="2" customWidth="1"/>
    <col min="12" max="16384" width="10.28125" style="2" customWidth="1"/>
  </cols>
  <sheetData>
    <row r="1" spans="1:6" s="13" customFormat="1" ht="27" customHeight="1">
      <c r="A1" s="11"/>
      <c r="B1" s="11"/>
      <c r="C1" s="12"/>
      <c r="D1" s="12"/>
      <c r="E1" s="12"/>
      <c r="F1" s="12"/>
    </row>
    <row r="2" spans="1:6" s="13" customFormat="1" ht="27">
      <c r="A2" s="14" t="s">
        <v>7</v>
      </c>
      <c r="B2" s="11"/>
      <c r="C2" s="12"/>
      <c r="D2" s="12"/>
      <c r="E2" s="12"/>
      <c r="F2" s="12"/>
    </row>
    <row r="3" spans="1:10" s="13" customFormat="1" ht="17.25">
      <c r="A3" s="126" t="s">
        <v>194</v>
      </c>
      <c r="B3" s="11"/>
      <c r="C3" s="12"/>
      <c r="D3" s="12"/>
      <c r="I3" s="16" t="s">
        <v>2</v>
      </c>
      <c r="J3" s="42">
        <f ca="1">TODAY()</f>
        <v>42802</v>
      </c>
    </row>
    <row r="4" spans="1:9" s="13" customFormat="1" ht="7.5" customHeight="1">
      <c r="A4" s="15"/>
      <c r="B4" s="11"/>
      <c r="C4" s="12"/>
      <c r="D4" s="12"/>
      <c r="H4" s="16"/>
      <c r="I4" s="42"/>
    </row>
    <row r="5" spans="1:10" s="13" customFormat="1" ht="15.75" customHeight="1">
      <c r="A5" s="403" t="s">
        <v>67</v>
      </c>
      <c r="B5" s="404"/>
      <c r="C5" s="404"/>
      <c r="D5" s="404"/>
      <c r="E5" s="404"/>
      <c r="F5" s="404"/>
      <c r="G5" s="404"/>
      <c r="H5" s="404"/>
      <c r="I5" s="404"/>
      <c r="J5" s="404"/>
    </row>
    <row r="6" spans="1:10" s="13" customFormat="1" ht="15.75" customHeight="1">
      <c r="A6" s="404"/>
      <c r="B6" s="404"/>
      <c r="C6" s="404"/>
      <c r="D6" s="404"/>
      <c r="E6" s="404"/>
      <c r="F6" s="404"/>
      <c r="G6" s="404"/>
      <c r="H6" s="404"/>
      <c r="I6" s="404"/>
      <c r="J6" s="404"/>
    </row>
    <row r="7" spans="1:10" s="13" customFormat="1" ht="15.75" customHeight="1">
      <c r="A7" s="404"/>
      <c r="B7" s="404"/>
      <c r="C7" s="404"/>
      <c r="D7" s="404"/>
      <c r="E7" s="404"/>
      <c r="F7" s="404"/>
      <c r="G7" s="404"/>
      <c r="H7" s="404"/>
      <c r="I7" s="404"/>
      <c r="J7" s="404"/>
    </row>
    <row r="8" spans="1:9" s="13" customFormat="1" ht="15.75" customHeight="1">
      <c r="A8" s="308"/>
      <c r="B8" s="308"/>
      <c r="C8" s="308"/>
      <c r="D8" s="308"/>
      <c r="E8" s="308"/>
      <c r="F8" s="308"/>
      <c r="G8" s="308"/>
      <c r="H8" s="308"/>
      <c r="I8" s="308"/>
    </row>
    <row r="9" spans="1:17" s="3" customFormat="1" ht="18" customHeight="1">
      <c r="A9" s="394" t="str">
        <f>Intro!J11&amp;" Crop Basket on Your Farm (Average Yield &amp; Projected Crop Prices)"</f>
        <v>2017 Crop Basket on Your Farm (Average Yield &amp; Projected Crop Prices)</v>
      </c>
      <c r="B9" s="395"/>
      <c r="C9" s="395"/>
      <c r="D9" s="395"/>
      <c r="E9" s="395"/>
      <c r="F9" s="395"/>
      <c r="G9" s="395"/>
      <c r="H9" s="395"/>
      <c r="I9" s="395"/>
      <c r="J9" s="396"/>
      <c r="K9" s="1"/>
      <c r="L9" s="96"/>
      <c r="M9" s="60"/>
      <c r="N9" s="60"/>
      <c r="O9" s="60"/>
      <c r="P9" s="60"/>
      <c r="Q9" s="60"/>
    </row>
    <row r="10" spans="1:17" s="3" customFormat="1" ht="33.75" customHeight="1">
      <c r="A10" s="99" t="s">
        <v>33</v>
      </c>
      <c r="B10" s="91"/>
      <c r="C10" s="92" t="s">
        <v>8</v>
      </c>
      <c r="D10" s="93" t="str">
        <f>Input!D25</f>
        <v>Canola</v>
      </c>
      <c r="E10" s="93" t="str">
        <f>Input!E25</f>
        <v>Wheat</v>
      </c>
      <c r="F10" s="93" t="str">
        <f>Input!F25</f>
        <v>Winter Wheat</v>
      </c>
      <c r="G10" s="93" t="str">
        <f>Input!G25</f>
        <v>Soy-beans</v>
      </c>
      <c r="H10" s="93" t="str">
        <f>Input!H25</f>
        <v>Corn</v>
      </c>
      <c r="I10" s="93" t="str">
        <f>Input!I25</f>
        <v>Barley</v>
      </c>
      <c r="J10" s="92" t="str">
        <f>Input!J25</f>
        <v>Oats</v>
      </c>
      <c r="K10" s="4"/>
      <c r="L10" s="97"/>
      <c r="M10" s="60"/>
      <c r="N10" s="60"/>
      <c r="O10" s="60"/>
      <c r="P10" s="60"/>
      <c r="Q10" s="60"/>
    </row>
    <row r="11" spans="1:17" s="3" customFormat="1" ht="7.5" customHeight="1">
      <c r="A11" s="103"/>
      <c r="B11" s="193"/>
      <c r="C11" s="104"/>
      <c r="D11" s="104"/>
      <c r="E11" s="104"/>
      <c r="F11" s="104"/>
      <c r="G11" s="112"/>
      <c r="H11" s="104"/>
      <c r="I11" s="104"/>
      <c r="J11" s="104"/>
      <c r="K11" s="4"/>
      <c r="L11" s="60"/>
      <c r="M11" s="60"/>
      <c r="N11" s="60"/>
      <c r="O11" s="60"/>
      <c r="P11" s="60"/>
      <c r="Q11" s="60"/>
    </row>
    <row r="12" spans="1:17" s="3" customFormat="1" ht="15.75">
      <c r="A12" s="212"/>
      <c r="B12" s="213" t="s">
        <v>35</v>
      </c>
      <c r="C12" s="20"/>
      <c r="D12" s="36">
        <f>Input!D27</f>
        <v>10.75</v>
      </c>
      <c r="E12" s="36">
        <f>Input!E27</f>
        <v>6.25</v>
      </c>
      <c r="F12" s="36">
        <f>Input!F27</f>
        <v>5</v>
      </c>
      <c r="G12" s="36">
        <f>Input!G27</f>
        <v>11.5</v>
      </c>
      <c r="H12" s="36">
        <f>Input!H27</f>
        <v>4.25</v>
      </c>
      <c r="I12" s="36">
        <f>Input!I27</f>
        <v>3.5</v>
      </c>
      <c r="J12" s="36">
        <f>Input!J27</f>
        <v>3.2</v>
      </c>
      <c r="K12" s="4"/>
      <c r="L12" s="96"/>
      <c r="M12" s="60"/>
      <c r="N12" s="60"/>
      <c r="O12" s="60"/>
      <c r="P12" s="60"/>
      <c r="Q12" s="60"/>
    </row>
    <row r="13" spans="1:17" s="3" customFormat="1" ht="7.5" customHeight="1">
      <c r="A13" s="212"/>
      <c r="B13" s="213"/>
      <c r="C13" s="20"/>
      <c r="D13" s="36"/>
      <c r="E13" s="36"/>
      <c r="F13" s="36"/>
      <c r="G13" s="36"/>
      <c r="H13" s="36"/>
      <c r="I13" s="36"/>
      <c r="J13" s="36"/>
      <c r="K13" s="4"/>
      <c r="L13" s="96"/>
      <c r="M13" s="60"/>
      <c r="N13" s="60"/>
      <c r="O13" s="60"/>
      <c r="P13" s="60"/>
      <c r="Q13" s="60"/>
    </row>
    <row r="14" spans="1:17" s="3" customFormat="1" ht="15.75">
      <c r="A14" s="214"/>
      <c r="B14" s="213" t="s">
        <v>10</v>
      </c>
      <c r="C14" s="20"/>
      <c r="D14" s="218">
        <f>Input!D29</f>
        <v>40</v>
      </c>
      <c r="E14" s="218">
        <f>Input!E29</f>
        <v>55</v>
      </c>
      <c r="F14" s="218">
        <f>Input!F29</f>
        <v>75</v>
      </c>
      <c r="G14" s="218">
        <f>Input!G29</f>
        <v>36</v>
      </c>
      <c r="H14" s="218">
        <f>Input!H29</f>
        <v>120</v>
      </c>
      <c r="I14" s="218">
        <f>Input!I29</f>
        <v>80</v>
      </c>
      <c r="J14" s="218">
        <f>Input!J29</f>
        <v>100</v>
      </c>
      <c r="K14" s="4"/>
      <c r="L14" s="399"/>
      <c r="M14" s="401"/>
      <c r="N14" s="401"/>
      <c r="O14" s="401"/>
      <c r="P14" s="401"/>
      <c r="Q14" s="401"/>
    </row>
    <row r="15" spans="1:17" s="3" customFormat="1" ht="7.5" customHeight="1">
      <c r="A15" s="214"/>
      <c r="B15" s="213"/>
      <c r="C15" s="20"/>
      <c r="D15" s="218"/>
      <c r="E15" s="218"/>
      <c r="F15" s="218"/>
      <c r="G15" s="218"/>
      <c r="H15" s="218"/>
      <c r="I15" s="218"/>
      <c r="J15" s="218"/>
      <c r="K15" s="4"/>
      <c r="L15" s="69"/>
      <c r="M15" s="307"/>
      <c r="N15" s="307"/>
      <c r="O15" s="307"/>
      <c r="P15" s="307"/>
      <c r="Q15" s="307"/>
    </row>
    <row r="16" spans="1:17" s="3" customFormat="1" ht="15.75">
      <c r="A16" s="214"/>
      <c r="B16" s="213" t="s">
        <v>5</v>
      </c>
      <c r="C16" s="21">
        <f>SUM(D16:J16)</f>
        <v>1</v>
      </c>
      <c r="D16" s="21">
        <f>Input!D31</f>
        <v>0.4</v>
      </c>
      <c r="E16" s="21">
        <f>Input!E31</f>
        <v>0.4</v>
      </c>
      <c r="F16" s="21">
        <f>Input!F31</f>
        <v>0.1</v>
      </c>
      <c r="G16" s="21">
        <f>Input!G31</f>
        <v>0.1</v>
      </c>
      <c r="H16" s="21">
        <f>Input!H31</f>
        <v>0</v>
      </c>
      <c r="I16" s="21">
        <f>Input!I31</f>
        <v>0</v>
      </c>
      <c r="J16" s="21">
        <f>Input!J31</f>
        <v>0</v>
      </c>
      <c r="K16" s="4"/>
      <c r="L16" s="96"/>
      <c r="M16" s="60"/>
      <c r="N16" s="60"/>
      <c r="O16" s="60"/>
      <c r="P16" s="60"/>
      <c r="Q16" s="60"/>
    </row>
    <row r="17" spans="1:17" s="3" customFormat="1" ht="7.5" customHeight="1">
      <c r="A17" s="214"/>
      <c r="B17" s="213"/>
      <c r="C17" s="21"/>
      <c r="D17" s="21"/>
      <c r="E17" s="21"/>
      <c r="F17" s="21"/>
      <c r="G17" s="21"/>
      <c r="H17" s="21"/>
      <c r="I17" s="21"/>
      <c r="J17" s="21"/>
      <c r="K17" s="4"/>
      <c r="L17" s="96"/>
      <c r="M17" s="60"/>
      <c r="N17" s="60"/>
      <c r="O17" s="60"/>
      <c r="P17" s="60"/>
      <c r="Q17" s="60"/>
    </row>
    <row r="18" spans="1:17" s="8" customFormat="1" ht="18" customHeight="1">
      <c r="A18" s="215"/>
      <c r="B18" s="213" t="s">
        <v>82</v>
      </c>
      <c r="C18" s="22">
        <f>IF(C16&lt;&gt;100%,"ERROR",SUM((D18*$D$16)+(E18*$E$16)+(F18*$F$16)+(G18*$G$16)+(H18*$H$16)+(J18*$J$16)+(I18*$I$16)))</f>
        <v>388.4</v>
      </c>
      <c r="D18" s="26">
        <f aca="true" t="shared" si="0" ref="D18:J18">SUM(D12*D14)</f>
        <v>430</v>
      </c>
      <c r="E18" s="26">
        <f t="shared" si="0"/>
        <v>343.75</v>
      </c>
      <c r="F18" s="26">
        <f t="shared" si="0"/>
        <v>375</v>
      </c>
      <c r="G18" s="26">
        <f t="shared" si="0"/>
        <v>414</v>
      </c>
      <c r="H18" s="26">
        <f t="shared" si="0"/>
        <v>510</v>
      </c>
      <c r="I18" s="26">
        <f t="shared" si="0"/>
        <v>280</v>
      </c>
      <c r="J18" s="26">
        <f t="shared" si="0"/>
        <v>320</v>
      </c>
      <c r="K18" s="7"/>
      <c r="L18" s="60"/>
      <c r="M18" s="60"/>
      <c r="N18" s="60"/>
      <c r="O18" s="60"/>
      <c r="P18" s="60"/>
      <c r="Q18" s="60"/>
    </row>
    <row r="19" spans="1:17" s="8" customFormat="1" ht="7.5" customHeight="1">
      <c r="A19" s="321"/>
      <c r="B19" s="224"/>
      <c r="C19" s="227"/>
      <c r="D19" s="225"/>
      <c r="E19" s="225"/>
      <c r="F19" s="225"/>
      <c r="G19" s="225"/>
      <c r="H19" s="225"/>
      <c r="I19" s="225"/>
      <c r="J19" s="225"/>
      <c r="K19" s="7"/>
      <c r="L19" s="60"/>
      <c r="M19" s="60"/>
      <c r="N19" s="60"/>
      <c r="O19" s="60"/>
      <c r="P19" s="60"/>
      <c r="Q19" s="60"/>
    </row>
    <row r="20" spans="1:9" s="13" customFormat="1" ht="7.5" customHeight="1">
      <c r="A20" s="308"/>
      <c r="B20" s="308"/>
      <c r="C20" s="308"/>
      <c r="D20" s="308"/>
      <c r="E20" s="308"/>
      <c r="F20" s="308"/>
      <c r="G20" s="308"/>
      <c r="H20" s="308"/>
      <c r="I20" s="308"/>
    </row>
    <row r="21" spans="1:9" s="7" customFormat="1" ht="15.75" customHeight="1">
      <c r="A21" s="107"/>
      <c r="B21" s="107"/>
      <c r="D21" s="247"/>
      <c r="E21" s="322" t="s">
        <v>199</v>
      </c>
      <c r="F21" s="347">
        <f>C18</f>
        <v>388.4</v>
      </c>
      <c r="H21" s="107"/>
      <c r="I21" s="107"/>
    </row>
    <row r="22" spans="1:9" s="7" customFormat="1" ht="7.5" customHeight="1">
      <c r="A22" s="107"/>
      <c r="B22" s="107"/>
      <c r="D22" s="247"/>
      <c r="E22" s="322"/>
      <c r="F22" s="323"/>
      <c r="H22" s="107"/>
      <c r="I22" s="107"/>
    </row>
    <row r="23" spans="1:9" s="7" customFormat="1" ht="15.75" customHeight="1">
      <c r="A23" s="107"/>
      <c r="B23" s="324" t="s">
        <v>195</v>
      </c>
      <c r="C23" s="106"/>
      <c r="D23" s="107"/>
      <c r="E23" s="107"/>
      <c r="G23" s="110"/>
      <c r="H23" s="107"/>
      <c r="I23" s="107"/>
    </row>
    <row r="24" spans="1:9" s="7" customFormat="1" ht="15.75" customHeight="1">
      <c r="A24" s="107"/>
      <c r="B24" s="324" t="s">
        <v>196</v>
      </c>
      <c r="C24" s="375" t="str">
        <f>"x "&amp;Input!F85</f>
        <v>x 5</v>
      </c>
      <c r="D24" s="333"/>
      <c r="E24" s="333" t="str">
        <f>"x "&amp;Input!F86</f>
        <v>x 6</v>
      </c>
      <c r="F24" s="335"/>
      <c r="G24" s="333" t="str">
        <f>"x "&amp;Input!F87</f>
        <v>x 8</v>
      </c>
      <c r="H24" s="333"/>
      <c r="I24" s="333" t="str">
        <f>"x "&amp;Input!F88</f>
        <v>x 10</v>
      </c>
    </row>
    <row r="25" spans="1:9" s="7" customFormat="1" ht="15.75" customHeight="1">
      <c r="A25" s="107"/>
      <c r="B25" s="247"/>
      <c r="C25" s="340" t="s">
        <v>197</v>
      </c>
      <c r="D25" s="333"/>
      <c r="F25" s="337" t="s">
        <v>200</v>
      </c>
      <c r="G25" s="338"/>
      <c r="H25" s="333"/>
      <c r="I25" s="340" t="s">
        <v>198</v>
      </c>
    </row>
    <row r="26" spans="1:9" s="7" customFormat="1" ht="7.5" customHeight="1">
      <c r="A26" s="107"/>
      <c r="B26" s="247"/>
      <c r="C26" s="334"/>
      <c r="D26" s="333"/>
      <c r="E26" s="333"/>
      <c r="F26" s="335"/>
      <c r="G26" s="333"/>
      <c r="H26" s="333"/>
      <c r="I26" s="333"/>
    </row>
    <row r="27" spans="1:9" s="7" customFormat="1" ht="15.75">
      <c r="A27" s="107"/>
      <c r="B27" s="324" t="s">
        <v>206</v>
      </c>
      <c r="C27" s="330"/>
      <c r="D27" s="331"/>
      <c r="E27" s="331"/>
      <c r="F27" s="332"/>
      <c r="G27" s="333"/>
      <c r="H27" s="331"/>
      <c r="I27" s="331"/>
    </row>
    <row r="28" spans="1:10" s="1" customFormat="1" ht="15.75" customHeight="1">
      <c r="A28" s="247"/>
      <c r="B28" s="324" t="s">
        <v>203</v>
      </c>
      <c r="C28" s="339">
        <f>SUM($F$21)*Input!F85</f>
        <v>1942</v>
      </c>
      <c r="D28" s="327"/>
      <c r="E28" s="339">
        <f>SUM($F$21)*Input!F86</f>
        <v>2330.3999999999996</v>
      </c>
      <c r="G28" s="339">
        <f>SUM($F$21)*Input!F87</f>
        <v>3107.2</v>
      </c>
      <c r="H28" s="328"/>
      <c r="I28" s="339">
        <f>SUM($F$21)*Input!F88</f>
        <v>3884</v>
      </c>
      <c r="J28" s="329"/>
    </row>
    <row r="29" spans="1:10" s="1" customFormat="1" ht="6.75" customHeight="1">
      <c r="A29" s="247"/>
      <c r="B29" s="247"/>
      <c r="C29" s="326"/>
      <c r="D29" s="327"/>
      <c r="E29" s="326"/>
      <c r="G29" s="326"/>
      <c r="H29" s="328"/>
      <c r="I29" s="326"/>
      <c r="J29" s="329"/>
    </row>
    <row r="30" spans="1:10" s="1" customFormat="1" ht="15.75" customHeight="1">
      <c r="A30" s="247"/>
      <c r="B30" s="325" t="s">
        <v>202</v>
      </c>
      <c r="C30" s="326"/>
      <c r="D30" s="327"/>
      <c r="E30" s="326"/>
      <c r="G30" s="326"/>
      <c r="H30" s="328"/>
      <c r="I30" s="326"/>
      <c r="J30" s="329"/>
    </row>
    <row r="31" spans="1:9" s="13" customFormat="1" ht="15.75" customHeight="1">
      <c r="A31" s="308"/>
      <c r="B31" s="342" t="str">
        <f>"(@ "&amp;Input!F53&amp;"% APR for "&amp;Input!F54&amp;" Years)"</f>
        <v>(@ 5.25% APR for 20 Years)</v>
      </c>
      <c r="C31" s="343">
        <f>-PMT(Input!$F$53/100,Input!$F$54,C28,0)</f>
        <v>159.15133389391053</v>
      </c>
      <c r="D31" s="308"/>
      <c r="E31" s="343">
        <f>-PMT(Input!$F$53/100,Input!$F$54,E28,0)</f>
        <v>190.9816006726926</v>
      </c>
      <c r="F31" s="308"/>
      <c r="G31" s="343">
        <f>-PMT(Input!$F$53/100,Input!$F$54,G28,0)</f>
        <v>254.6421342302568</v>
      </c>
      <c r="H31" s="308"/>
      <c r="I31" s="343">
        <f>-PMT(Input!$F$53/100,Input!$F$54,I28,0)</f>
        <v>318.30266778782106</v>
      </c>
    </row>
    <row r="32" spans="1:9" s="13" customFormat="1" ht="7.5" customHeight="1">
      <c r="A32" s="308"/>
      <c r="C32" s="341"/>
      <c r="D32" s="308"/>
      <c r="E32" s="341"/>
      <c r="F32" s="308"/>
      <c r="G32" s="341"/>
      <c r="H32" s="308"/>
      <c r="I32" s="341"/>
    </row>
    <row r="33" spans="1:9" s="13" customFormat="1" ht="15.75" customHeight="1">
      <c r="A33" s="308"/>
      <c r="B33" s="345" t="s">
        <v>205</v>
      </c>
      <c r="C33" s="341"/>
      <c r="D33" s="308"/>
      <c r="E33" s="341"/>
      <c r="F33" s="308"/>
      <c r="G33" s="341"/>
      <c r="H33" s="308"/>
      <c r="I33" s="341"/>
    </row>
    <row r="34" spans="1:9" s="13" customFormat="1" ht="15.75" customHeight="1">
      <c r="A34" s="308"/>
      <c r="B34" s="345" t="s">
        <v>204</v>
      </c>
      <c r="C34" s="344">
        <f>Input!$F$59</f>
        <v>3</v>
      </c>
      <c r="D34" s="308"/>
      <c r="E34" s="344">
        <f>Input!$F$59</f>
        <v>3</v>
      </c>
      <c r="F34" s="308"/>
      <c r="G34" s="344">
        <f>Input!$F$59</f>
        <v>3</v>
      </c>
      <c r="H34" s="308"/>
      <c r="I34" s="344">
        <f>Input!$F$59</f>
        <v>3</v>
      </c>
    </row>
    <row r="35" spans="1:9" s="13" customFormat="1" ht="7.5" customHeight="1">
      <c r="A35" s="308"/>
      <c r="B35" s="342"/>
      <c r="C35" s="341"/>
      <c r="D35" s="308"/>
      <c r="E35" s="341"/>
      <c r="F35" s="308"/>
      <c r="G35" s="341"/>
      <c r="H35" s="308"/>
      <c r="I35" s="341"/>
    </row>
    <row r="36" spans="1:9" s="13" customFormat="1" ht="15.75" customHeight="1">
      <c r="A36" s="308"/>
      <c r="B36" s="324" t="s">
        <v>208</v>
      </c>
      <c r="C36" s="341"/>
      <c r="D36" s="308"/>
      <c r="E36" s="341"/>
      <c r="F36" s="308"/>
      <c r="G36" s="341"/>
      <c r="H36" s="308"/>
      <c r="I36" s="341"/>
    </row>
    <row r="37" spans="1:9" s="13" customFormat="1" ht="15.75" customHeight="1">
      <c r="A37" s="308"/>
      <c r="B37" s="346" t="s">
        <v>210</v>
      </c>
      <c r="C37" s="343">
        <f>SUM(C31/C34)</f>
        <v>53.05044463130351</v>
      </c>
      <c r="D37" s="308"/>
      <c r="E37" s="343">
        <f>SUM(E31/E34)</f>
        <v>63.6605335575642</v>
      </c>
      <c r="F37" s="308"/>
      <c r="G37" s="343">
        <f>SUM(G31/G34)</f>
        <v>84.8807114100856</v>
      </c>
      <c r="H37" s="308"/>
      <c r="I37" s="343">
        <f>SUM(I31/I34)</f>
        <v>106.10088926260703</v>
      </c>
    </row>
    <row r="38" spans="1:9" s="13" customFormat="1" ht="15.75" customHeight="1">
      <c r="A38" s="308"/>
      <c r="B38" s="346" t="s">
        <v>209</v>
      </c>
      <c r="C38" s="333">
        <f>SUM(C37/$F$21)</f>
        <v>0.13658713859758886</v>
      </c>
      <c r="D38" s="308"/>
      <c r="E38" s="333">
        <f>SUM(E37/$F$21)</f>
        <v>0.1639045663171066</v>
      </c>
      <c r="F38" s="308"/>
      <c r="G38" s="333">
        <f>SUM(G37/$F$21)</f>
        <v>0.21853942175614213</v>
      </c>
      <c r="H38" s="308"/>
      <c r="I38" s="333">
        <f>SUM(I37/$F$21)</f>
        <v>0.27317427719517773</v>
      </c>
    </row>
    <row r="39" spans="1:9" s="7" customFormat="1" ht="15.75" customHeight="1">
      <c r="A39" s="107"/>
      <c r="B39" s="74"/>
      <c r="D39" s="239"/>
      <c r="E39" s="107"/>
      <c r="F39" s="109"/>
      <c r="I39" s="107"/>
    </row>
    <row r="40" spans="1:10" s="9" customFormat="1" ht="15" customHeight="1">
      <c r="A40" s="13" t="s">
        <v>24</v>
      </c>
      <c r="B40" s="7"/>
      <c r="C40" s="7"/>
      <c r="D40" s="10"/>
      <c r="E40" s="10"/>
      <c r="F40" s="10"/>
      <c r="G40" s="10"/>
      <c r="H40" s="10"/>
      <c r="I40" s="10"/>
      <c r="J40" s="49"/>
    </row>
    <row r="41" spans="1:10" s="9" customFormat="1" ht="15" customHeight="1">
      <c r="A41" s="13" t="s">
        <v>201</v>
      </c>
      <c r="B41" s="7"/>
      <c r="C41" s="7"/>
      <c r="D41" s="10"/>
      <c r="E41" s="10"/>
      <c r="F41" s="10"/>
      <c r="G41" s="10"/>
      <c r="H41" s="10"/>
      <c r="I41" s="10"/>
      <c r="J41" s="49"/>
    </row>
    <row r="42" spans="1:10" s="9" customFormat="1" ht="15" customHeight="1">
      <c r="A42" s="13" t="s">
        <v>207</v>
      </c>
      <c r="B42" s="7"/>
      <c r="C42" s="7"/>
      <c r="D42" s="10"/>
      <c r="E42" s="10"/>
      <c r="F42" s="10"/>
      <c r="G42" s="10"/>
      <c r="H42" s="10"/>
      <c r="I42" s="10"/>
      <c r="J42" s="49"/>
    </row>
    <row r="43" ht="7.5" customHeight="1"/>
    <row r="44" spans="1:17" s="129" customFormat="1" ht="18" customHeight="1">
      <c r="A44" s="394" t="str">
        <f>Input!C14&amp;" - "&amp;Input!B14&amp;" Average Values"</f>
        <v>10 year - Manitoba Average Values</v>
      </c>
      <c r="B44" s="395"/>
      <c r="C44" s="395"/>
      <c r="D44" s="397"/>
      <c r="E44" s="397"/>
      <c r="F44" s="397"/>
      <c r="G44" s="397"/>
      <c r="H44" s="397"/>
      <c r="I44" s="397"/>
      <c r="J44" s="398"/>
      <c r="K44" s="127"/>
      <c r="L44" s="128"/>
      <c r="M44" s="63"/>
      <c r="N44" s="63"/>
      <c r="O44" s="63"/>
      <c r="P44" s="63"/>
      <c r="Q44" s="63"/>
    </row>
    <row r="45" spans="1:17" s="3" customFormat="1" ht="33.75" customHeight="1">
      <c r="A45" s="99" t="s">
        <v>33</v>
      </c>
      <c r="B45" s="91"/>
      <c r="C45" s="92" t="s">
        <v>8</v>
      </c>
      <c r="D45" s="93" t="str">
        <f>Input!D12</f>
        <v>Canola</v>
      </c>
      <c r="E45" s="93" t="str">
        <f>Input!E12</f>
        <v>Wheat</v>
      </c>
      <c r="F45" s="93" t="str">
        <f>Input!F12</f>
        <v>Winter Wheat</v>
      </c>
      <c r="G45" s="93" t="str">
        <f>Input!G12</f>
        <v>Soy-beans</v>
      </c>
      <c r="H45" s="93" t="str">
        <f>Input!H12</f>
        <v>Corn</v>
      </c>
      <c r="I45" s="93" t="str">
        <f>Input!I12</f>
        <v>Barley</v>
      </c>
      <c r="J45" s="93" t="str">
        <f>Input!J12</f>
        <v>Oats</v>
      </c>
      <c r="K45" s="4"/>
      <c r="L45" s="97"/>
      <c r="M45" s="60"/>
      <c r="N45" s="60"/>
      <c r="O45" s="60"/>
      <c r="P45" s="60"/>
      <c r="Q45" s="60"/>
    </row>
    <row r="46" spans="1:17" s="3" customFormat="1" ht="7.5" customHeight="1">
      <c r="A46" s="103"/>
      <c r="B46" s="193"/>
      <c r="C46" s="104"/>
      <c r="D46" s="104"/>
      <c r="E46" s="104"/>
      <c r="F46" s="104"/>
      <c r="G46" s="112"/>
      <c r="H46" s="104"/>
      <c r="I46" s="104"/>
      <c r="J46" s="104"/>
      <c r="K46" s="4"/>
      <c r="L46" s="60"/>
      <c r="M46" s="60"/>
      <c r="N46" s="60"/>
      <c r="O46" s="60"/>
      <c r="P46" s="60"/>
      <c r="Q46" s="60"/>
    </row>
    <row r="47" spans="1:17" s="3" customFormat="1" ht="15.75">
      <c r="A47" s="212"/>
      <c r="B47" s="213" t="s">
        <v>35</v>
      </c>
      <c r="C47" s="20"/>
      <c r="D47" s="36">
        <f>Input!D16</f>
        <v>10.911649467926463</v>
      </c>
      <c r="E47" s="36">
        <f>Input!E16</f>
        <v>6.90856862745098</v>
      </c>
      <c r="F47" s="36">
        <f>Input!F16</f>
        <v>6.256000000000001</v>
      </c>
      <c r="G47" s="36">
        <f>Input!G16</f>
        <v>10.924914261874985</v>
      </c>
      <c r="H47" s="36">
        <f>Input!H16</f>
        <v>4.680575822294587</v>
      </c>
      <c r="I47" s="36">
        <f>Input!I16</f>
        <v>3.6681610738253356</v>
      </c>
      <c r="J47" s="36">
        <f>Input!J16</f>
        <v>2.9639138026494</v>
      </c>
      <c r="K47" s="4"/>
      <c r="L47" s="96"/>
      <c r="M47" s="60"/>
      <c r="N47" s="60"/>
      <c r="O47" s="60"/>
      <c r="P47" s="60"/>
      <c r="Q47" s="60"/>
    </row>
    <row r="48" spans="1:17" s="3" customFormat="1" ht="7.5" customHeight="1">
      <c r="A48" s="212"/>
      <c r="B48" s="213"/>
      <c r="C48" s="20"/>
      <c r="D48" s="36"/>
      <c r="E48" s="36"/>
      <c r="F48" s="36"/>
      <c r="G48" s="36"/>
      <c r="H48" s="36"/>
      <c r="I48" s="36"/>
      <c r="J48" s="36"/>
      <c r="K48" s="4"/>
      <c r="L48" s="96"/>
      <c r="M48" s="60"/>
      <c r="N48" s="60"/>
      <c r="O48" s="60"/>
      <c r="P48" s="60"/>
      <c r="Q48" s="60"/>
    </row>
    <row r="49" spans="1:17" s="3" customFormat="1" ht="15.75">
      <c r="A49" s="214"/>
      <c r="B49" s="213" t="s">
        <v>10</v>
      </c>
      <c r="C49" s="20"/>
      <c r="D49" s="218">
        <f>Input!D18</f>
        <v>36.1</v>
      </c>
      <c r="E49" s="218">
        <f>Input!E18</f>
        <v>48.4</v>
      </c>
      <c r="F49" s="218">
        <f>Input!F18</f>
        <v>64</v>
      </c>
      <c r="G49" s="218">
        <f>Input!G18</f>
        <v>34.6</v>
      </c>
      <c r="H49" s="218">
        <f>Input!H18</f>
        <v>113.4</v>
      </c>
      <c r="I49" s="218">
        <f>Input!I18</f>
        <v>62.9</v>
      </c>
      <c r="J49" s="218">
        <f>Input!J18</f>
        <v>91.4</v>
      </c>
      <c r="K49" s="4"/>
      <c r="L49" s="399"/>
      <c r="M49" s="401"/>
      <c r="N49" s="401"/>
      <c r="O49" s="401"/>
      <c r="P49" s="401"/>
      <c r="Q49" s="401"/>
    </row>
    <row r="50" spans="1:17" s="3" customFormat="1" ht="7.5" customHeight="1">
      <c r="A50" s="214"/>
      <c r="B50" s="213"/>
      <c r="C50" s="20"/>
      <c r="D50" s="218"/>
      <c r="E50" s="218"/>
      <c r="F50" s="218"/>
      <c r="G50" s="218"/>
      <c r="H50" s="218"/>
      <c r="I50" s="218"/>
      <c r="J50" s="218"/>
      <c r="K50" s="4"/>
      <c r="L50" s="69"/>
      <c r="M50" s="307"/>
      <c r="N50" s="307"/>
      <c r="O50" s="307"/>
      <c r="P50" s="307"/>
      <c r="Q50" s="307"/>
    </row>
    <row r="51" spans="1:17" s="3" customFormat="1" ht="15.75">
      <c r="A51" s="214"/>
      <c r="B51" s="213" t="s">
        <v>5</v>
      </c>
      <c r="C51" s="21">
        <f>SUM(D51:J51)</f>
        <v>1</v>
      </c>
      <c r="D51" s="21">
        <f>Input!D20</f>
        <v>0.4</v>
      </c>
      <c r="E51" s="21">
        <f>Input!E20</f>
        <v>0.4</v>
      </c>
      <c r="F51" s="21">
        <f>Input!F20</f>
        <v>0.1</v>
      </c>
      <c r="G51" s="21">
        <f>Input!G20</f>
        <v>0.1</v>
      </c>
      <c r="H51" s="21">
        <f>Input!H20</f>
        <v>0</v>
      </c>
      <c r="I51" s="21">
        <f>Input!I20</f>
        <v>0</v>
      </c>
      <c r="J51" s="21">
        <f>Input!J20</f>
        <v>0</v>
      </c>
      <c r="K51" s="4"/>
      <c r="L51" s="96"/>
      <c r="M51" s="60"/>
      <c r="N51" s="60"/>
      <c r="O51" s="60"/>
      <c r="P51" s="60"/>
      <c r="Q51" s="60"/>
    </row>
    <row r="52" spans="1:17" s="3" customFormat="1" ht="7.5" customHeight="1">
      <c r="A52" s="214"/>
      <c r="B52" s="213"/>
      <c r="C52" s="21"/>
      <c r="D52" s="21"/>
      <c r="E52" s="21"/>
      <c r="F52" s="21"/>
      <c r="G52" s="21"/>
      <c r="H52" s="21"/>
      <c r="I52" s="21"/>
      <c r="J52" s="21"/>
      <c r="K52" s="4"/>
      <c r="L52" s="96"/>
      <c r="M52" s="60"/>
      <c r="N52" s="60"/>
      <c r="O52" s="60"/>
      <c r="P52" s="60"/>
      <c r="Q52" s="60"/>
    </row>
    <row r="53" spans="1:17" s="8" customFormat="1" ht="15.75" customHeight="1">
      <c r="A53" s="215"/>
      <c r="B53" s="213" t="s">
        <v>82</v>
      </c>
      <c r="C53" s="22">
        <f>IF(C51&lt;&gt;100%,"ERROR",SUM((D53*D51)+(E53*E51)+(F53*F51)+(G53*G51)+(H53*H51)+(J53*I51)+(I53*J51)))</f>
        <v>369.15271029039667</v>
      </c>
      <c r="D53" s="26">
        <f aca="true" t="shared" si="1" ref="D53:J53">SUM(D47*D49)</f>
        <v>393.91054579214534</v>
      </c>
      <c r="E53" s="26">
        <f t="shared" si="1"/>
        <v>334.3747215686274</v>
      </c>
      <c r="F53" s="26">
        <f t="shared" si="1"/>
        <v>400.38400000000007</v>
      </c>
      <c r="G53" s="26">
        <f t="shared" si="1"/>
        <v>378.0020334608745</v>
      </c>
      <c r="H53" s="26">
        <f t="shared" si="1"/>
        <v>530.7772982482062</v>
      </c>
      <c r="I53" s="26">
        <f t="shared" si="1"/>
        <v>230.72733154361362</v>
      </c>
      <c r="J53" s="26">
        <f t="shared" si="1"/>
        <v>270.90172156215516</v>
      </c>
      <c r="K53" s="7"/>
      <c r="L53" s="60"/>
      <c r="M53" s="60"/>
      <c r="N53" s="60"/>
      <c r="O53" s="60"/>
      <c r="P53" s="60"/>
      <c r="Q53" s="60"/>
    </row>
    <row r="54" spans="1:17" s="8" customFormat="1" ht="7.5" customHeight="1">
      <c r="A54" s="321"/>
      <c r="B54" s="224"/>
      <c r="C54" s="227"/>
      <c r="D54" s="225"/>
      <c r="E54" s="225"/>
      <c r="F54" s="225"/>
      <c r="G54" s="225"/>
      <c r="H54" s="225"/>
      <c r="I54" s="225"/>
      <c r="J54" s="225"/>
      <c r="K54" s="7"/>
      <c r="L54" s="60"/>
      <c r="M54" s="60"/>
      <c r="N54" s="60"/>
      <c r="O54" s="60"/>
      <c r="P54" s="60"/>
      <c r="Q54" s="60"/>
    </row>
    <row r="55" spans="1:9" s="13" customFormat="1" ht="7.5" customHeight="1">
      <c r="A55" s="308"/>
      <c r="B55" s="308"/>
      <c r="C55" s="308"/>
      <c r="D55" s="308"/>
      <c r="E55" s="308"/>
      <c r="F55" s="308"/>
      <c r="G55" s="308"/>
      <c r="H55" s="308"/>
      <c r="I55" s="308"/>
    </row>
    <row r="56" spans="1:9" s="7" customFormat="1" ht="15.75" customHeight="1">
      <c r="A56" s="107"/>
      <c r="B56" s="107"/>
      <c r="D56" s="247"/>
      <c r="E56" s="322" t="s">
        <v>199</v>
      </c>
      <c r="F56" s="347">
        <f>C53</f>
        <v>369.15271029039667</v>
      </c>
      <c r="H56" s="107"/>
      <c r="I56" s="107"/>
    </row>
    <row r="57" spans="1:9" s="7" customFormat="1" ht="7.5" customHeight="1">
      <c r="A57" s="107"/>
      <c r="B57" s="107"/>
      <c r="D57" s="247"/>
      <c r="E57" s="322"/>
      <c r="F57" s="323"/>
      <c r="H57" s="107"/>
      <c r="I57" s="107"/>
    </row>
    <row r="58" spans="1:9" s="7" customFormat="1" ht="15.75" customHeight="1">
      <c r="A58" s="107"/>
      <c r="B58" s="324" t="s">
        <v>195</v>
      </c>
      <c r="C58" s="106"/>
      <c r="D58" s="107"/>
      <c r="E58" s="107"/>
      <c r="G58" s="110"/>
      <c r="H58" s="107"/>
      <c r="I58" s="107"/>
    </row>
    <row r="59" spans="1:9" s="7" customFormat="1" ht="15.75" customHeight="1">
      <c r="A59" s="107"/>
      <c r="B59" s="324" t="s">
        <v>196</v>
      </c>
      <c r="C59" s="334" t="str">
        <f>C24</f>
        <v>x 5</v>
      </c>
      <c r="D59" s="333"/>
      <c r="E59" s="333" t="str">
        <f>E24</f>
        <v>x 6</v>
      </c>
      <c r="F59" s="335"/>
      <c r="G59" s="333" t="str">
        <f>G24</f>
        <v>x 8</v>
      </c>
      <c r="H59" s="333"/>
      <c r="I59" s="333" t="str">
        <f>I24</f>
        <v>x 10</v>
      </c>
    </row>
    <row r="60" spans="1:9" s="7" customFormat="1" ht="7.5" customHeight="1">
      <c r="A60" s="107"/>
      <c r="B60" s="247"/>
      <c r="C60" s="334"/>
      <c r="D60" s="333"/>
      <c r="E60" s="333"/>
      <c r="F60" s="335"/>
      <c r="G60" s="333"/>
      <c r="H60" s="333"/>
      <c r="I60" s="333"/>
    </row>
    <row r="61" spans="1:9" s="7" customFormat="1" ht="15.75" customHeight="1">
      <c r="A61" s="107"/>
      <c r="B61" s="247"/>
      <c r="C61" s="336" t="s">
        <v>198</v>
      </c>
      <c r="D61" s="333"/>
      <c r="F61" s="337" t="s">
        <v>200</v>
      </c>
      <c r="G61" s="338"/>
      <c r="H61" s="333"/>
      <c r="I61" s="340" t="s">
        <v>197</v>
      </c>
    </row>
    <row r="62" spans="1:9" s="7" customFormat="1" ht="7.5" customHeight="1">
      <c r="A62" s="107"/>
      <c r="B62" s="247"/>
      <c r="C62" s="334"/>
      <c r="D62" s="333"/>
      <c r="E62" s="333"/>
      <c r="F62" s="335"/>
      <c r="G62" s="333"/>
      <c r="H62" s="333"/>
      <c r="I62" s="333"/>
    </row>
    <row r="63" spans="1:9" s="7" customFormat="1" ht="15.75">
      <c r="A63" s="107"/>
      <c r="B63" s="324" t="s">
        <v>206</v>
      </c>
      <c r="C63" s="330"/>
      <c r="D63" s="331"/>
      <c r="E63" s="331"/>
      <c r="F63" s="332"/>
      <c r="G63" s="333"/>
      <c r="H63" s="331"/>
      <c r="I63" s="331"/>
    </row>
    <row r="64" spans="1:10" s="1" customFormat="1" ht="15.75" customHeight="1">
      <c r="A64" s="247"/>
      <c r="B64" s="324" t="s">
        <v>203</v>
      </c>
      <c r="C64" s="339">
        <f>SUM($F$56)*Input!F85</f>
        <v>1845.7635514519834</v>
      </c>
      <c r="D64" s="327"/>
      <c r="E64" s="339">
        <f>SUM($F$56)*Input!F86</f>
        <v>2214.91626174238</v>
      </c>
      <c r="G64" s="339">
        <f>SUM($F$56)*Input!F87</f>
        <v>2953.2216823231734</v>
      </c>
      <c r="H64" s="328"/>
      <c r="I64" s="339">
        <f>SUM($F$56)*Input!F88</f>
        <v>3691.527102903967</v>
      </c>
      <c r="J64" s="329"/>
    </row>
    <row r="65" spans="1:10" s="1" customFormat="1" ht="6.75" customHeight="1">
      <c r="A65" s="247"/>
      <c r="B65" s="247"/>
      <c r="C65" s="326"/>
      <c r="D65" s="327"/>
      <c r="E65" s="326"/>
      <c r="G65" s="326"/>
      <c r="H65" s="328"/>
      <c r="I65" s="326"/>
      <c r="J65" s="329"/>
    </row>
    <row r="66" spans="1:10" s="1" customFormat="1" ht="15.75" customHeight="1">
      <c r="A66" s="247"/>
      <c r="B66" s="325" t="s">
        <v>202</v>
      </c>
      <c r="C66" s="326"/>
      <c r="D66" s="327"/>
      <c r="E66" s="326"/>
      <c r="G66" s="326"/>
      <c r="H66" s="328"/>
      <c r="I66" s="326"/>
      <c r="J66" s="329"/>
    </row>
    <row r="67" spans="1:9" s="13" customFormat="1" ht="15.75" customHeight="1">
      <c r="A67" s="308"/>
      <c r="B67" s="342" t="str">
        <f>"(@ "&amp;Input!F53&amp;"% APR for "&amp;Input!F54&amp;" Years)"</f>
        <v>(@ 5.25% APR for 20 Years)</v>
      </c>
      <c r="C67" s="343">
        <f>-PMT(Input!$F$53/100,Input!$F$54,C64,0)</f>
        <v>151.2645372123299</v>
      </c>
      <c r="D67" s="308"/>
      <c r="E67" s="343">
        <f>-PMT(Input!$F$53/100,Input!$F$54,E64,0)</f>
        <v>181.5174446547959</v>
      </c>
      <c r="F67" s="308"/>
      <c r="G67" s="343">
        <f>-PMT(Input!$F$53/100,Input!$F$54,G64,0)</f>
        <v>242.02325953972786</v>
      </c>
      <c r="H67" s="308"/>
      <c r="I67" s="343">
        <f>-PMT(Input!$F$53/100,Input!$F$54,I64,0)</f>
        <v>302.5290744246598</v>
      </c>
    </row>
    <row r="68" spans="1:9" s="13" customFormat="1" ht="7.5" customHeight="1">
      <c r="A68" s="308"/>
      <c r="C68" s="341"/>
      <c r="D68" s="308"/>
      <c r="E68" s="341"/>
      <c r="F68" s="308"/>
      <c r="G68" s="341"/>
      <c r="H68" s="308"/>
      <c r="I68" s="341"/>
    </row>
    <row r="69" spans="1:9" s="13" customFormat="1" ht="15.75" customHeight="1">
      <c r="A69" s="308"/>
      <c r="B69" s="345" t="s">
        <v>205</v>
      </c>
      <c r="C69" s="341"/>
      <c r="D69" s="308"/>
      <c r="E69" s="341"/>
      <c r="F69" s="308"/>
      <c r="G69" s="341"/>
      <c r="H69" s="308"/>
      <c r="I69" s="341"/>
    </row>
    <row r="70" spans="1:9" s="13" customFormat="1" ht="15.75" customHeight="1">
      <c r="A70" s="308"/>
      <c r="B70" s="345" t="s">
        <v>204</v>
      </c>
      <c r="C70" s="344">
        <f>Input!$F$59</f>
        <v>3</v>
      </c>
      <c r="D70" s="308"/>
      <c r="E70" s="344">
        <f>Input!$F$59</f>
        <v>3</v>
      </c>
      <c r="F70" s="308"/>
      <c r="G70" s="344">
        <f>Input!$F$59</f>
        <v>3</v>
      </c>
      <c r="H70" s="308"/>
      <c r="I70" s="344">
        <f>Input!$F$59</f>
        <v>3</v>
      </c>
    </row>
    <row r="71" spans="1:9" s="13" customFormat="1" ht="7.5" customHeight="1">
      <c r="A71" s="308"/>
      <c r="B71" s="342"/>
      <c r="C71" s="341"/>
      <c r="D71" s="308"/>
      <c r="E71" s="341"/>
      <c r="F71" s="308"/>
      <c r="G71" s="341"/>
      <c r="H71" s="308"/>
      <c r="I71" s="341"/>
    </row>
    <row r="72" spans="1:9" s="13" customFormat="1" ht="15.75" customHeight="1">
      <c r="A72" s="308"/>
      <c r="B72" s="324" t="s">
        <v>208</v>
      </c>
      <c r="C72" s="341"/>
      <c r="D72" s="308"/>
      <c r="E72" s="341"/>
      <c r="F72" s="308"/>
      <c r="G72" s="341"/>
      <c r="H72" s="308"/>
      <c r="I72" s="341"/>
    </row>
    <row r="73" spans="1:9" s="13" customFormat="1" ht="15.75" customHeight="1">
      <c r="A73" s="308"/>
      <c r="B73" s="346" t="s">
        <v>210</v>
      </c>
      <c r="C73" s="343">
        <f>SUM(C67/C70)</f>
        <v>50.42151240410997</v>
      </c>
      <c r="D73" s="308"/>
      <c r="E73" s="343">
        <f>SUM(E67/E70)</f>
        <v>60.505814884931965</v>
      </c>
      <c r="F73" s="308"/>
      <c r="G73" s="343">
        <f>SUM(G67/G70)</f>
        <v>80.67441984657596</v>
      </c>
      <c r="H73" s="308"/>
      <c r="I73" s="343">
        <f>SUM(I67/I70)</f>
        <v>100.84302480821994</v>
      </c>
    </row>
    <row r="74" spans="1:9" s="13" customFormat="1" ht="15.75" customHeight="1">
      <c r="A74" s="308"/>
      <c r="B74" s="346" t="s">
        <v>209</v>
      </c>
      <c r="C74" s="333">
        <f>SUM(C73/$F$56)</f>
        <v>0.13658713859758884</v>
      </c>
      <c r="D74" s="308"/>
      <c r="E74" s="333">
        <f>SUM(E73/$F$56)</f>
        <v>0.16390456631710662</v>
      </c>
      <c r="F74" s="308"/>
      <c r="G74" s="333">
        <f>SUM(G73/$F$56)</f>
        <v>0.21853942175614216</v>
      </c>
      <c r="H74" s="308"/>
      <c r="I74" s="333">
        <f>SUM(I73/$F$56)</f>
        <v>0.2731742771951777</v>
      </c>
    </row>
    <row r="75" spans="1:9" ht="7.5" customHeight="1">
      <c r="A75" s="13"/>
      <c r="B75" s="7"/>
      <c r="C75" s="7"/>
      <c r="D75" s="7"/>
      <c r="E75" s="7"/>
      <c r="F75" s="7"/>
      <c r="G75" s="7"/>
      <c r="H75" s="7"/>
      <c r="I75" s="7"/>
    </row>
    <row r="76" spans="1:10" s="6" customFormat="1" ht="18" customHeight="1">
      <c r="A76" s="405" t="s">
        <v>223</v>
      </c>
      <c r="B76" s="405"/>
      <c r="C76" s="405"/>
      <c r="D76" s="405"/>
      <c r="E76" s="405"/>
      <c r="F76" s="405"/>
      <c r="G76" s="405"/>
      <c r="H76" s="405"/>
      <c r="I76" s="405"/>
      <c r="J76" s="51"/>
    </row>
    <row r="77" spans="1:10" s="6" customFormat="1" ht="18" customHeight="1">
      <c r="A77" s="405"/>
      <c r="B77" s="405"/>
      <c r="C77" s="405"/>
      <c r="D77" s="405"/>
      <c r="E77" s="405"/>
      <c r="F77" s="405"/>
      <c r="G77" s="405"/>
      <c r="H77" s="405"/>
      <c r="I77" s="405"/>
      <c r="J77" s="51"/>
    </row>
    <row r="78" spans="1:10" s="6" customFormat="1" ht="18">
      <c r="A78" s="405"/>
      <c r="B78" s="405"/>
      <c r="C78" s="405"/>
      <c r="D78" s="405"/>
      <c r="E78" s="405"/>
      <c r="F78" s="405"/>
      <c r="G78" s="405"/>
      <c r="H78" s="405"/>
      <c r="I78" s="405"/>
      <c r="J78" s="51"/>
    </row>
    <row r="79" spans="1:10" s="18" customFormat="1" ht="7.5" customHeight="1">
      <c r="A79" s="366"/>
      <c r="B79" s="318"/>
      <c r="C79" s="318"/>
      <c r="D79" s="318"/>
      <c r="E79" s="318"/>
      <c r="F79" s="318"/>
      <c r="G79" s="53"/>
      <c r="H79" s="53"/>
      <c r="I79" s="53"/>
      <c r="J79" s="53"/>
    </row>
    <row r="80" spans="1:16" s="18" customFormat="1" ht="14.25" customHeight="1">
      <c r="A80" s="52" t="s">
        <v>9</v>
      </c>
      <c r="B80" s="52"/>
      <c r="C80" s="52"/>
      <c r="E80" s="367"/>
      <c r="F80" s="367"/>
      <c r="G80" s="367"/>
      <c r="H80" s="368"/>
      <c r="I80" s="369" t="str">
        <f>Intro!I11</f>
        <v>Date: April,</v>
      </c>
      <c r="J80" s="370">
        <f>Intro!J11</f>
        <v>2017</v>
      </c>
      <c r="K80" s="371"/>
      <c r="L80" s="371"/>
      <c r="N80" s="372"/>
      <c r="O80" s="310"/>
      <c r="P80" s="310"/>
    </row>
    <row r="81" spans="1:16" s="18" customFormat="1" ht="15" customHeight="1">
      <c r="A81" s="373" t="s">
        <v>3</v>
      </c>
      <c r="B81" s="374"/>
      <c r="C81" s="374"/>
      <c r="D81" s="374"/>
      <c r="N81" s="372"/>
      <c r="O81" s="310"/>
      <c r="P81" s="310"/>
    </row>
    <row r="82" spans="1:10" s="17" customFormat="1" ht="15.75">
      <c r="A82" s="19" t="s">
        <v>4</v>
      </c>
      <c r="C82" s="54"/>
      <c r="D82" s="19" t="s">
        <v>124</v>
      </c>
      <c r="E82" s="54"/>
      <c r="F82" s="54"/>
      <c r="G82" s="57"/>
      <c r="H82" s="319" t="s">
        <v>31</v>
      </c>
      <c r="I82" s="54"/>
      <c r="J82" s="54"/>
    </row>
    <row r="83" spans="1:10" s="5" customFormat="1" ht="14.25">
      <c r="A83" s="56" t="s">
        <v>222</v>
      </c>
      <c r="C83" s="55"/>
      <c r="D83" s="56" t="s">
        <v>222</v>
      </c>
      <c r="E83" s="55"/>
      <c r="F83" s="55"/>
      <c r="G83" s="55"/>
      <c r="H83" s="56" t="s">
        <v>222</v>
      </c>
      <c r="I83" s="55"/>
      <c r="J83" s="55"/>
    </row>
    <row r="84" ht="18">
      <c r="D84" s="2"/>
    </row>
    <row r="85" ht="7.5" customHeight="1">
      <c r="D85" s="2"/>
    </row>
    <row r="87" spans="1:22" s="3" customFormat="1" ht="18" customHeight="1">
      <c r="A87" s="4"/>
      <c r="B87" s="4"/>
      <c r="C87" s="4"/>
      <c r="D87" s="4"/>
      <c r="E87" s="4"/>
      <c r="F87" s="4"/>
      <c r="G87" s="4"/>
      <c r="H87" s="4"/>
      <c r="I87" s="4"/>
      <c r="J87" s="50"/>
      <c r="K87" s="2"/>
      <c r="L87" s="2"/>
      <c r="M87" s="2"/>
      <c r="N87" s="2"/>
      <c r="O87" s="2"/>
      <c r="P87" s="2"/>
      <c r="Q87" s="2"/>
      <c r="R87" s="2"/>
      <c r="S87" s="2"/>
      <c r="T87" s="2"/>
      <c r="U87" s="2"/>
      <c r="V87" s="2"/>
    </row>
    <row r="89" ht="18">
      <c r="B89" s="2"/>
    </row>
    <row r="90" ht="18">
      <c r="B90" s="2"/>
    </row>
  </sheetData>
  <sheetProtection password="C6A6" sheet="1" objects="1" scenarios="1"/>
  <mergeCells count="6">
    <mergeCell ref="A5:J7"/>
    <mergeCell ref="A9:J9"/>
    <mergeCell ref="L14:Q14"/>
    <mergeCell ref="A44:J44"/>
    <mergeCell ref="L49:Q49"/>
    <mergeCell ref="A76:I78"/>
  </mergeCells>
  <hyperlinks>
    <hyperlink ref="A82" r:id="rId1" display="Roy Arnott"/>
    <hyperlink ref="H82" r:id="rId2" display="Bob Gwyer"/>
  </hyperlinks>
  <printOptions horizontalCentered="1"/>
  <pageMargins left="0.5511811023622047" right="0.5511811023622047" top="0.7874015748031497" bottom="0.984251968503937" header="0.5118110236220472" footer="0.5118110236220472"/>
  <pageSetup firstPageNumber="9" useFirstPageNumber="1" fitToHeight="2" horizontalDpi="600" verticalDpi="600" orientation="portrait" pageOrder="overThenDown" scale="80" r:id="rId4"/>
  <headerFooter scaleWithDoc="0" alignWithMargins="0">
    <oddHeader>&amp;LGuidelines: Crop Land Purchase Values&amp;R&amp;P</oddHeader>
    <oddFooter>&amp;R&amp;9Manitoba Agriculture</oddFooter>
  </headerFooter>
  <rowBreaks count="1" manualBreakCount="1">
    <brk id="42" max="10" man="1"/>
  </rowBreaks>
  <drawing r:id="rId3"/>
</worksheet>
</file>

<file path=xl/worksheets/sheet8.xml><?xml version="1.0" encoding="utf-8"?>
<worksheet xmlns="http://schemas.openxmlformats.org/spreadsheetml/2006/main" xmlns:r="http://schemas.openxmlformats.org/officeDocument/2006/relationships">
  <sheetPr codeName="Sheet5">
    <pageSetUpPr fitToPage="1"/>
  </sheetPr>
  <dimension ref="A1:V66"/>
  <sheetViews>
    <sheetView showGridLines="0" workbookViewId="0" topLeftCell="A1">
      <selection activeCell="A1" sqref="A1"/>
    </sheetView>
  </sheetViews>
  <sheetFormatPr defaultColWidth="10.28125" defaultRowHeight="12.75"/>
  <cols>
    <col min="1" max="1" width="3.421875" style="4" customWidth="1"/>
    <col min="2" max="2" width="28.421875" style="4" customWidth="1"/>
    <col min="3" max="9" width="10.7109375" style="4" customWidth="1"/>
    <col min="10" max="10" width="10.7109375" style="50" customWidth="1"/>
    <col min="11" max="11" width="2.28125" style="2" customWidth="1"/>
    <col min="12" max="16384" width="10.28125" style="2" customWidth="1"/>
  </cols>
  <sheetData>
    <row r="1" spans="1:6" s="13" customFormat="1" ht="27" customHeight="1">
      <c r="A1" s="11"/>
      <c r="B1" s="11"/>
      <c r="C1" s="12"/>
      <c r="D1" s="12"/>
      <c r="E1" s="12"/>
      <c r="F1" s="12"/>
    </row>
    <row r="2" spans="1:6" s="13" customFormat="1" ht="27">
      <c r="A2" s="14" t="s">
        <v>7</v>
      </c>
      <c r="B2" s="11"/>
      <c r="C2" s="12"/>
      <c r="D2" s="12"/>
      <c r="E2" s="12"/>
      <c r="F2" s="12"/>
    </row>
    <row r="3" spans="1:10" s="13" customFormat="1" ht="17.25">
      <c r="A3" s="126" t="s">
        <v>134</v>
      </c>
      <c r="B3" s="11"/>
      <c r="C3" s="12"/>
      <c r="D3" s="12"/>
      <c r="I3" s="16" t="s">
        <v>2</v>
      </c>
      <c r="J3" s="42">
        <f ca="1">TODAY()</f>
        <v>42802</v>
      </c>
    </row>
    <row r="4" spans="1:9" s="13" customFormat="1" ht="7.5" customHeight="1">
      <c r="A4" s="15"/>
      <c r="B4" s="11"/>
      <c r="C4" s="12"/>
      <c r="D4" s="12"/>
      <c r="H4" s="16"/>
      <c r="I4" s="42"/>
    </row>
    <row r="5" spans="1:10" s="13" customFormat="1" ht="15.75" customHeight="1">
      <c r="A5" s="403" t="s">
        <v>67</v>
      </c>
      <c r="B5" s="404"/>
      <c r="C5" s="404"/>
      <c r="D5" s="404"/>
      <c r="E5" s="404"/>
      <c r="F5" s="404"/>
      <c r="G5" s="404"/>
      <c r="H5" s="404"/>
      <c r="I5" s="404"/>
      <c r="J5" s="404"/>
    </row>
    <row r="6" spans="1:10" s="13" customFormat="1" ht="15.75" customHeight="1">
      <c r="A6" s="404"/>
      <c r="B6" s="404"/>
      <c r="C6" s="404"/>
      <c r="D6" s="404"/>
      <c r="E6" s="404"/>
      <c r="F6" s="404"/>
      <c r="G6" s="404"/>
      <c r="H6" s="404"/>
      <c r="I6" s="404"/>
      <c r="J6" s="404"/>
    </row>
    <row r="7" spans="1:10" s="13" customFormat="1" ht="15.75" customHeight="1">
      <c r="A7" s="404"/>
      <c r="B7" s="404"/>
      <c r="C7" s="404"/>
      <c r="D7" s="404"/>
      <c r="E7" s="404"/>
      <c r="F7" s="404"/>
      <c r="G7" s="404"/>
      <c r="H7" s="404"/>
      <c r="I7" s="404"/>
      <c r="J7" s="404"/>
    </row>
    <row r="8" spans="1:9" s="13" customFormat="1" ht="15.75" customHeight="1">
      <c r="A8" s="192"/>
      <c r="B8" s="192"/>
      <c r="C8" s="192"/>
      <c r="D8" s="192"/>
      <c r="E8" s="192"/>
      <c r="F8" s="192"/>
      <c r="G8" s="192"/>
      <c r="H8" s="192"/>
      <c r="I8" s="192"/>
    </row>
    <row r="9" spans="1:17" s="3" customFormat="1" ht="18" customHeight="1">
      <c r="A9" s="406" t="s">
        <v>224</v>
      </c>
      <c r="B9" s="407"/>
      <c r="C9" s="407"/>
      <c r="D9" s="407"/>
      <c r="E9" s="407"/>
      <c r="F9" s="407"/>
      <c r="G9" s="407"/>
      <c r="H9" s="407"/>
      <c r="I9" s="407"/>
      <c r="J9" s="407"/>
      <c r="K9" s="1"/>
      <c r="L9" s="96"/>
      <c r="M9" s="60"/>
      <c r="N9" s="60"/>
      <c r="O9" s="60"/>
      <c r="P9" s="60"/>
      <c r="Q9" s="60"/>
    </row>
    <row r="10" spans="1:17" s="3" customFormat="1" ht="33.75" customHeight="1">
      <c r="A10" s="99" t="s">
        <v>33</v>
      </c>
      <c r="B10" s="91"/>
      <c r="C10" s="92" t="s">
        <v>8</v>
      </c>
      <c r="D10" s="93" t="str">
        <f>Input!D25</f>
        <v>Canola</v>
      </c>
      <c r="E10" s="93" t="str">
        <f>Input!E25</f>
        <v>Wheat</v>
      </c>
      <c r="F10" s="93" t="str">
        <f>Input!F25</f>
        <v>Winter Wheat</v>
      </c>
      <c r="G10" s="93" t="str">
        <f>Input!G25</f>
        <v>Soy-beans</v>
      </c>
      <c r="H10" s="93" t="str">
        <f>Input!H25</f>
        <v>Corn</v>
      </c>
      <c r="I10" s="93" t="str">
        <f>Input!I25</f>
        <v>Barley</v>
      </c>
      <c r="J10" s="92" t="str">
        <f>Input!J25</f>
        <v>Oats</v>
      </c>
      <c r="K10" s="4"/>
      <c r="L10" s="97"/>
      <c r="M10" s="60"/>
      <c r="N10" s="60"/>
      <c r="O10" s="60"/>
      <c r="P10" s="60"/>
      <c r="Q10" s="60"/>
    </row>
    <row r="11" spans="1:17" s="3" customFormat="1" ht="7.5" customHeight="1">
      <c r="A11" s="103"/>
      <c r="B11" s="193"/>
      <c r="C11" s="104"/>
      <c r="D11" s="104"/>
      <c r="E11" s="104"/>
      <c r="F11" s="104"/>
      <c r="G11" s="112"/>
      <c r="H11" s="104"/>
      <c r="I11" s="104"/>
      <c r="J11" s="104"/>
      <c r="K11" s="4"/>
      <c r="L11" s="60"/>
      <c r="M11" s="60"/>
      <c r="N11" s="60"/>
      <c r="O11" s="60"/>
      <c r="P11" s="60"/>
      <c r="Q11" s="60"/>
    </row>
    <row r="12" spans="1:17" s="3" customFormat="1" ht="15.75">
      <c r="A12" s="212"/>
      <c r="B12" s="213" t="s">
        <v>35</v>
      </c>
      <c r="C12" s="20"/>
      <c r="D12" s="36">
        <f>Input!D27</f>
        <v>10.75</v>
      </c>
      <c r="E12" s="36">
        <f>Input!E27</f>
        <v>6.25</v>
      </c>
      <c r="F12" s="36">
        <f>Input!F27</f>
        <v>5</v>
      </c>
      <c r="G12" s="36">
        <f>Input!G27</f>
        <v>11.5</v>
      </c>
      <c r="H12" s="36">
        <f>Input!H27</f>
        <v>4.25</v>
      </c>
      <c r="I12" s="36">
        <f>Input!I27</f>
        <v>3.5</v>
      </c>
      <c r="J12" s="36">
        <f>Input!J27</f>
        <v>3.2</v>
      </c>
      <c r="K12" s="4"/>
      <c r="L12" s="96"/>
      <c r="M12" s="60"/>
      <c r="N12" s="60"/>
      <c r="O12" s="60"/>
      <c r="P12" s="60"/>
      <c r="Q12" s="60"/>
    </row>
    <row r="13" spans="1:17" s="3" customFormat="1" ht="15.75">
      <c r="A13" s="214" t="s">
        <v>22</v>
      </c>
      <c r="B13" s="213" t="s">
        <v>10</v>
      </c>
      <c r="C13" s="20"/>
      <c r="D13" s="218">
        <f>Input!D29</f>
        <v>40</v>
      </c>
      <c r="E13" s="218">
        <f>Input!E29</f>
        <v>55</v>
      </c>
      <c r="F13" s="218">
        <f>Input!F29</f>
        <v>75</v>
      </c>
      <c r="G13" s="218">
        <f>Input!G29</f>
        <v>36</v>
      </c>
      <c r="H13" s="218">
        <f>Input!H29</f>
        <v>120</v>
      </c>
      <c r="I13" s="218">
        <f>Input!I29</f>
        <v>80</v>
      </c>
      <c r="J13" s="218">
        <f>Input!J29</f>
        <v>100</v>
      </c>
      <c r="K13" s="4"/>
      <c r="L13" s="399"/>
      <c r="M13" s="401"/>
      <c r="N13" s="401"/>
      <c r="O13" s="401"/>
      <c r="P13" s="401"/>
      <c r="Q13" s="401"/>
    </row>
    <row r="14" spans="1:17" s="3" customFormat="1" ht="15.75">
      <c r="A14" s="214" t="s">
        <v>22</v>
      </c>
      <c r="B14" s="213" t="s">
        <v>5</v>
      </c>
      <c r="C14" s="21">
        <f>SUM(D14:J14)</f>
        <v>1</v>
      </c>
      <c r="D14" s="21">
        <f>Input!D31</f>
        <v>0.4</v>
      </c>
      <c r="E14" s="21">
        <f>Input!E31</f>
        <v>0.4</v>
      </c>
      <c r="F14" s="21">
        <f>Input!F31</f>
        <v>0.1</v>
      </c>
      <c r="G14" s="21">
        <f>Input!G31</f>
        <v>0.1</v>
      </c>
      <c r="H14" s="21">
        <f>Input!H31</f>
        <v>0</v>
      </c>
      <c r="I14" s="21">
        <f>Input!I31</f>
        <v>0</v>
      </c>
      <c r="J14" s="21">
        <f>Input!J31</f>
        <v>0</v>
      </c>
      <c r="K14" s="4"/>
      <c r="L14" s="96"/>
      <c r="M14" s="60"/>
      <c r="N14" s="60"/>
      <c r="O14" s="60"/>
      <c r="P14" s="60"/>
      <c r="Q14" s="60"/>
    </row>
    <row r="15" spans="1:17" s="3" customFormat="1" ht="7.5" customHeight="1">
      <c r="A15" s="214"/>
      <c r="B15" s="213"/>
      <c r="C15" s="21"/>
      <c r="D15" s="21"/>
      <c r="E15" s="21"/>
      <c r="F15" s="21"/>
      <c r="G15" s="21"/>
      <c r="H15" s="21"/>
      <c r="I15" s="21"/>
      <c r="J15" s="21"/>
      <c r="K15" s="4"/>
      <c r="L15" s="96"/>
      <c r="M15" s="60"/>
      <c r="N15" s="60"/>
      <c r="O15" s="60"/>
      <c r="P15" s="60"/>
      <c r="Q15" s="60"/>
    </row>
    <row r="16" spans="1:17" s="8" customFormat="1" ht="18" customHeight="1">
      <c r="A16" s="215" t="s">
        <v>23</v>
      </c>
      <c r="B16" s="213" t="s">
        <v>82</v>
      </c>
      <c r="C16" s="22">
        <f>IF(C14&lt;&gt;100%,"ERROR",SUM((D16*$D$14)+(E16*$E$14)+(F16*$F$14)+(G16*$G$14)+(H16*$H$14)+(J16*$J$14)+(I16*$I$14)))</f>
        <v>388.4</v>
      </c>
      <c r="D16" s="26">
        <f aca="true" t="shared" si="0" ref="D16:J16">SUM(D12*D13)</f>
        <v>430</v>
      </c>
      <c r="E16" s="26">
        <f t="shared" si="0"/>
        <v>343.75</v>
      </c>
      <c r="F16" s="26">
        <f t="shared" si="0"/>
        <v>375</v>
      </c>
      <c r="G16" s="26">
        <f t="shared" si="0"/>
        <v>414</v>
      </c>
      <c r="H16" s="26">
        <f t="shared" si="0"/>
        <v>510</v>
      </c>
      <c r="I16" s="26">
        <f t="shared" si="0"/>
        <v>280</v>
      </c>
      <c r="J16" s="26">
        <f t="shared" si="0"/>
        <v>320</v>
      </c>
      <c r="K16" s="7"/>
      <c r="L16" s="60"/>
      <c r="M16" s="60"/>
      <c r="N16" s="60"/>
      <c r="O16" s="60"/>
      <c r="P16" s="60"/>
      <c r="Q16" s="60"/>
    </row>
    <row r="17" spans="1:17" s="8" customFormat="1" ht="7.5" customHeight="1">
      <c r="A17" s="211"/>
      <c r="B17" s="101"/>
      <c r="C17" s="22"/>
      <c r="D17" s="26"/>
      <c r="E17" s="26"/>
      <c r="F17" s="26"/>
      <c r="G17" s="26"/>
      <c r="H17" s="26"/>
      <c r="I17" s="26"/>
      <c r="J17" s="26"/>
      <c r="K17" s="7"/>
      <c r="L17" s="60"/>
      <c r="M17" s="60"/>
      <c r="N17" s="60"/>
      <c r="O17" s="60"/>
      <c r="P17" s="60"/>
      <c r="Q17" s="60"/>
    </row>
    <row r="18" spans="1:17" s="8" customFormat="1" ht="15.75" customHeight="1">
      <c r="A18" s="216" t="s">
        <v>26</v>
      </c>
      <c r="B18" s="217" t="s">
        <v>30</v>
      </c>
      <c r="C18" s="22">
        <f>IF(C14&lt;&gt;100%,"ERROR",SUM((D18*$D$14)+(E18*$E$14)+(F18*$F$14)+(G18*$G$14)+(H18*$H$14)+(J18*$J$14)+(I18*$I$14)))</f>
        <v>200.719</v>
      </c>
      <c r="D18" s="26">
        <f>Input!D47</f>
        <v>238.08999999999997</v>
      </c>
      <c r="E18" s="26">
        <f>Input!E47</f>
        <v>176.35000000000002</v>
      </c>
      <c r="F18" s="26">
        <f>Input!F47</f>
        <v>166.64</v>
      </c>
      <c r="G18" s="26">
        <f>Input!G47</f>
        <v>182.79</v>
      </c>
      <c r="H18" s="26">
        <f>Input!H47</f>
        <v>295.77</v>
      </c>
      <c r="I18" s="26">
        <f>Input!I47</f>
        <v>160.44</v>
      </c>
      <c r="J18" s="26">
        <f>Input!J47</f>
        <v>135.51999999999998</v>
      </c>
      <c r="K18" s="7"/>
      <c r="L18" s="60"/>
      <c r="M18" s="60"/>
      <c r="N18" s="60"/>
      <c r="O18" s="60"/>
      <c r="P18" s="60"/>
      <c r="Q18" s="60"/>
    </row>
    <row r="19" spans="1:17" s="219" customFormat="1" ht="34.5">
      <c r="A19" s="229" t="s">
        <v>23</v>
      </c>
      <c r="B19" s="230" t="s">
        <v>106</v>
      </c>
      <c r="C19" s="231">
        <f>IF(C14&lt;&gt;100%,"ERROR",SUM((D19*$D$14)+(E19*$E$14)+(F19*$F$14)+(G19*$G$14)+(H19*$H$14)+(J19*$J$14)+(I19*$I$14)))</f>
        <v>187.681</v>
      </c>
      <c r="D19" s="231">
        <f aca="true" t="shared" si="1" ref="D19:J19">SUM(D16-D18)</f>
        <v>191.91000000000003</v>
      </c>
      <c r="E19" s="231">
        <f t="shared" si="1"/>
        <v>167.39999999999998</v>
      </c>
      <c r="F19" s="231">
        <f t="shared" si="1"/>
        <v>208.36</v>
      </c>
      <c r="G19" s="231">
        <f t="shared" si="1"/>
        <v>231.21</v>
      </c>
      <c r="H19" s="231">
        <f t="shared" si="1"/>
        <v>214.23000000000002</v>
      </c>
      <c r="I19" s="231">
        <f t="shared" si="1"/>
        <v>119.56</v>
      </c>
      <c r="J19" s="231">
        <f t="shared" si="1"/>
        <v>184.48000000000002</v>
      </c>
      <c r="K19" s="1"/>
      <c r="L19" s="96"/>
      <c r="M19" s="96"/>
      <c r="N19" s="96"/>
      <c r="O19" s="96"/>
      <c r="P19" s="96"/>
      <c r="Q19" s="96"/>
    </row>
    <row r="20" spans="1:17" s="8" customFormat="1" ht="7.5" customHeight="1">
      <c r="A20" s="220"/>
      <c r="B20" s="221"/>
      <c r="C20" s="228"/>
      <c r="D20" s="222"/>
      <c r="E20" s="222"/>
      <c r="F20" s="222"/>
      <c r="G20" s="222"/>
      <c r="H20" s="222"/>
      <c r="I20" s="222"/>
      <c r="J20" s="222"/>
      <c r="K20" s="7"/>
      <c r="L20" s="60"/>
      <c r="M20" s="60"/>
      <c r="N20" s="60"/>
      <c r="O20" s="60"/>
      <c r="P20" s="60"/>
      <c r="Q20" s="60"/>
    </row>
    <row r="21" spans="1:17" s="8" customFormat="1" ht="18" customHeight="1">
      <c r="A21" s="216" t="s">
        <v>26</v>
      </c>
      <c r="B21" s="213" t="s">
        <v>111</v>
      </c>
      <c r="C21" s="22">
        <f>IF(C14&lt;&gt;100%,"ERROR",SUM((D21*$D$14)+(E21*$E$14)+(F21*$F$14)+(G21*$G$14)+(H21*$H$14)+(J21*$J$14)+(I21*$I$14)))</f>
        <v>45</v>
      </c>
      <c r="D21" s="26">
        <f>SUM(Input!$F$73*(Input!$F$74/100))</f>
        <v>45</v>
      </c>
      <c r="E21" s="26">
        <f>SUM(Input!$F$73*(Input!$F$74/100))</f>
        <v>45</v>
      </c>
      <c r="F21" s="26">
        <f>SUM(Input!$F$73*(Input!$F$74/100))</f>
        <v>45</v>
      </c>
      <c r="G21" s="26">
        <f>SUM(Input!$F$73*(Input!$F$74/100))</f>
        <v>45</v>
      </c>
      <c r="H21" s="26">
        <f>SUM(Input!$F$73*(Input!$F$74/100))</f>
        <v>45</v>
      </c>
      <c r="I21" s="26">
        <f>SUM(Input!$F$73*(Input!$F$74/100))</f>
        <v>45</v>
      </c>
      <c r="J21" s="26">
        <f>SUM(Input!$F$73*(Input!$F$74/100))</f>
        <v>45</v>
      </c>
      <c r="K21" s="7"/>
      <c r="L21" s="60"/>
      <c r="M21" s="60"/>
      <c r="N21" s="60"/>
      <c r="O21" s="60"/>
      <c r="P21" s="60"/>
      <c r="Q21" s="60"/>
    </row>
    <row r="22" spans="1:17" s="8" customFormat="1" ht="18" customHeight="1">
      <c r="A22" s="216" t="s">
        <v>26</v>
      </c>
      <c r="B22" s="213" t="s">
        <v>112</v>
      </c>
      <c r="C22" s="22">
        <f>IF(C14&lt;&gt;100%,"ERROR",SUM((D22*$D$14)+(E22*$E$14)+(F22*$F$14)+(G22*$G$14)+(H22*$H$14)+(J22*$J$14)+(I22*$I$14)))</f>
        <v>11.25</v>
      </c>
      <c r="D22" s="26">
        <f>SUM(Input!$F$73*(Input!$F$75/100))</f>
        <v>11.25</v>
      </c>
      <c r="E22" s="26">
        <f>SUM(Input!$F$73*(Input!$F$75/100))</f>
        <v>11.25</v>
      </c>
      <c r="F22" s="26">
        <f>SUM(Input!$F$73*(Input!$F$75/100))</f>
        <v>11.25</v>
      </c>
      <c r="G22" s="26">
        <f>SUM(Input!$F$73*(Input!$F$75/100))</f>
        <v>11.25</v>
      </c>
      <c r="H22" s="26">
        <f>SUM(Input!$F$73*(Input!$F$75/100))</f>
        <v>11.25</v>
      </c>
      <c r="I22" s="26">
        <f>SUM(Input!$F$73*(Input!$F$75/100))</f>
        <v>11.25</v>
      </c>
      <c r="J22" s="26">
        <f>SUM(Input!$F$73*(Input!$F$75/100))</f>
        <v>11.25</v>
      </c>
      <c r="K22" s="7"/>
      <c r="L22" s="60"/>
      <c r="M22" s="60"/>
      <c r="N22" s="60"/>
      <c r="O22" s="60"/>
      <c r="P22" s="60"/>
      <c r="Q22" s="60"/>
    </row>
    <row r="23" spans="1:17" s="8" customFormat="1" ht="15.75" customHeight="1">
      <c r="A23" s="216" t="s">
        <v>26</v>
      </c>
      <c r="B23" s="213" t="s">
        <v>89</v>
      </c>
      <c r="C23" s="22">
        <f>IF(C14&lt;&gt;100%,"ERROR",SUM((D23*$D$14)+(E23*$E$14)+(F23*$F$14)+(G23*$G$14)+(H23*$H$14)+(J23*$J$14)+(I23*$I$14)))</f>
        <v>6.7067531250000005</v>
      </c>
      <c r="D23" s="26">
        <f>(((((Input!$F$76*D13)-(Input!$F$76*D13*(Input!$F$74/100)))/20)+((((Input!$F$76*D13)+(Input!$F$76*D13*(Input!$F$74/100)))/2)*(Input!$F$75/100)))*Input!$F$77/100)+(((((Input!$F$78*D13)-(Input!$F$78*D13*(Input!$F$74/100)))/20)+((((Input!$F$78*D13)+(Input!$F$78*D13*(Input!$F$74/100)))/2)*(Input!$F$75/100)))*Input!$F$79/100)</f>
        <v>5.46375</v>
      </c>
      <c r="E23" s="26">
        <f>(((((Input!$F$76*E13)-(Input!$F$76*E13*(Input!$F$74/100)))/20)+((((Input!$F$76*E13)+(Input!$F$76*E13*(Input!$F$74/100)))/2)*(Input!$F$75/100)))*Input!$F$77/100)+(((((Input!$F$78*E13)-(Input!$F$78*E13*(Input!$F$74/100)))/20)+((((Input!$F$78*E13)+(Input!$F$78*E13*(Input!$F$74/100)))/2)*(Input!$F$75/100)))*Input!$F$79/100)</f>
        <v>7.51265625</v>
      </c>
      <c r="F23" s="26">
        <f>(((((Input!$F$76*F13)-(Input!$F$76*F13*(Input!$F$74/100)))/20)+((((Input!$F$76*F13)+(Input!$F$76*F13*(Input!$F$74/100)))/2)*(Input!$F$75/100)))*Input!$F$77/100)+(((((Input!$F$78*F13)-(Input!$F$78*F13*(Input!$F$74/100)))/20)+((((Input!$F$78*F13)+(Input!$F$78*F13*(Input!$F$74/100)))/2)*(Input!$F$75/100)))*Input!$F$79/100)</f>
        <v>10.244531250000001</v>
      </c>
      <c r="G23" s="26">
        <f>(((((Input!$F$76*G13)-(Input!$F$76*G13*(Input!$F$74/100)))/20)+((((Input!$F$76*G13)+(Input!$F$76*G13*(Input!$F$74/100)))/2)*(Input!$F$75/100)))*Input!$F$77/100)+(((((Input!$F$78*G13)-(Input!$F$78*G13*(Input!$F$74/100)))/20)+((((Input!$F$78*G13)+(Input!$F$78*G13*(Input!$F$74/100)))/2)*(Input!$F$75/100)))*Input!$F$79/100)</f>
        <v>4.917375</v>
      </c>
      <c r="H23" s="26">
        <f>(((((Input!$F$76*H13)-(Input!$F$76*H13*(Input!$F$74/100)))/20)+((((Input!$F$76*H13)+(Input!$F$76*H13*(Input!$F$74/100)))/2)*(Input!$F$75/100)))*Input!$F$77/100)+(((((Input!$F$78*H13)-(Input!$F$78*H13*(Input!$F$74/100)))/20)+((((Input!$F$78*H13)+(Input!$F$78*H13*(Input!$F$74/100)))/2)*(Input!$F$75/100)))*Input!$F$79/100)</f>
        <v>16.39125</v>
      </c>
      <c r="I23" s="26">
        <f>(((((Input!$F$76*I13)-(Input!$F$76*I13*(Input!$F$74/100)))/20)+((((Input!$F$76*I13)+(Input!$F$76*I13*(Input!$F$74/100)))/2)*(Input!$F$75/100)))*Input!$F$77/100)+(((((Input!$F$78*I13)-(Input!$F$78*I13*(Input!$F$74/100)))/20)+((((Input!$F$78*I13)+(Input!$F$78*I13*(Input!$F$74/100)))/2)*(Input!$F$75/100)))*Input!$F$79/100)</f>
        <v>10.9275</v>
      </c>
      <c r="J23" s="26">
        <f>(((((Input!$F$76*J13)-(Input!$F$76*J13*(Input!$F$74/100)))/20)+((((Input!$F$76*J13)+(Input!$F$76*J13*(Input!$F$74/100)))/2)*(Input!$F$75/100)))*Input!$F$77/100)+(((((Input!$F$78*J13)-(Input!$F$78*J13*(Input!$F$74/100)))/20)+((((Input!$F$78*J13)+(Input!$F$78*J13*(Input!$F$74/100)))/2)*(Input!$F$75/100)))*Input!$F$79/100)</f>
        <v>13.659375</v>
      </c>
      <c r="K23" s="7"/>
      <c r="L23" s="60"/>
      <c r="M23" s="60"/>
      <c r="N23" s="60"/>
      <c r="O23" s="60"/>
      <c r="P23" s="60"/>
      <c r="Q23" s="60"/>
    </row>
    <row r="24" spans="1:17" s="8" customFormat="1" ht="15.75" customHeight="1">
      <c r="A24" s="88"/>
      <c r="B24" s="101"/>
      <c r="C24" s="22"/>
      <c r="D24" s="26"/>
      <c r="E24" s="26"/>
      <c r="F24" s="26"/>
      <c r="G24" s="26"/>
      <c r="H24" s="26"/>
      <c r="I24" s="26"/>
      <c r="J24" s="26"/>
      <c r="K24" s="7"/>
      <c r="L24" s="60"/>
      <c r="M24" s="60"/>
      <c r="N24" s="60"/>
      <c r="O24" s="60"/>
      <c r="P24" s="60"/>
      <c r="Q24" s="60"/>
    </row>
    <row r="25" spans="1:17" s="8" customFormat="1" ht="18" customHeight="1">
      <c r="A25" s="216" t="s">
        <v>26</v>
      </c>
      <c r="B25" s="213" t="s">
        <v>115</v>
      </c>
      <c r="C25" s="22">
        <f>IF(C14&lt;&gt;100%,"ERROR",SUM((D25*$D$14)+(E25*$E$14)+(F25*$F$14)+(G25*$G$14)+(H25*$H$14)+(J25*$J$14)+(I25*$I$14)))</f>
        <v>30</v>
      </c>
      <c r="D25" s="26">
        <f>SUM(Input!$F$81*Input!$F$82)</f>
        <v>30</v>
      </c>
      <c r="E25" s="26">
        <f>SUM(Input!$F$81*Input!$F$82)</f>
        <v>30</v>
      </c>
      <c r="F25" s="26">
        <f>SUM(Input!$F$81*Input!$F$82)</f>
        <v>30</v>
      </c>
      <c r="G25" s="26">
        <f>SUM(Input!$F$81*Input!$F$82)</f>
        <v>30</v>
      </c>
      <c r="H25" s="26">
        <f>SUM(Input!$F$81*Input!$F$82)</f>
        <v>30</v>
      </c>
      <c r="I25" s="26">
        <f>SUM(Input!$F$81*Input!$F$82)</f>
        <v>30</v>
      </c>
      <c r="J25" s="26">
        <f>SUM(Input!$F$81*Input!$F$82)</f>
        <v>30</v>
      </c>
      <c r="K25" s="7"/>
      <c r="L25" s="60"/>
      <c r="M25" s="60"/>
      <c r="N25" s="60"/>
      <c r="O25" s="60"/>
      <c r="P25" s="60"/>
      <c r="Q25" s="60"/>
    </row>
    <row r="26" spans="1:17" s="8" customFormat="1" ht="7.5" customHeight="1">
      <c r="A26" s="223"/>
      <c r="B26" s="224"/>
      <c r="C26" s="227"/>
      <c r="D26" s="225"/>
      <c r="E26" s="225"/>
      <c r="F26" s="225"/>
      <c r="G26" s="225"/>
      <c r="H26" s="225"/>
      <c r="I26" s="225"/>
      <c r="J26" s="225"/>
      <c r="K26" s="7"/>
      <c r="L26" s="60"/>
      <c r="M26" s="60"/>
      <c r="N26" s="60"/>
      <c r="O26" s="60"/>
      <c r="P26" s="60"/>
      <c r="Q26" s="60"/>
    </row>
    <row r="27" spans="1:17" s="8" customFormat="1" ht="7.5" customHeight="1">
      <c r="A27" s="103"/>
      <c r="B27" s="226"/>
      <c r="C27" s="228"/>
      <c r="D27" s="222"/>
      <c r="E27" s="222"/>
      <c r="F27" s="222"/>
      <c r="G27" s="222"/>
      <c r="H27" s="222"/>
      <c r="I27" s="222"/>
      <c r="J27" s="222"/>
      <c r="K27" s="7"/>
      <c r="L27" s="60"/>
      <c r="M27" s="60"/>
      <c r="N27" s="60"/>
      <c r="O27" s="60"/>
      <c r="P27" s="60"/>
      <c r="Q27" s="60"/>
    </row>
    <row r="28" spans="1:17" s="8" customFormat="1" ht="15.75" customHeight="1">
      <c r="A28" s="88" t="s">
        <v>118</v>
      </c>
      <c r="B28" s="101"/>
      <c r="C28" s="22">
        <f>IF(C14&lt;&gt;100%,"ERROR",SUM((D28*$D$14)+(E28*$E$14)+(F28*$F$14)+(G28*$G$14)+(H28*$H$14)+(J28*$J$14)+(I28*$I$14)))</f>
        <v>94.724246875</v>
      </c>
      <c r="D28" s="22">
        <f aca="true" t="shared" si="2" ref="D28:J28">SUM(D19-D21-D22-D23-D25)</f>
        <v>100.19625000000002</v>
      </c>
      <c r="E28" s="22">
        <f t="shared" si="2"/>
        <v>73.63734374999997</v>
      </c>
      <c r="F28" s="22">
        <f t="shared" si="2"/>
        <v>111.86546875000002</v>
      </c>
      <c r="G28" s="22">
        <f t="shared" si="2"/>
        <v>140.04262500000002</v>
      </c>
      <c r="H28" s="22">
        <f t="shared" si="2"/>
        <v>111.58875</v>
      </c>
      <c r="I28" s="22">
        <f t="shared" si="2"/>
        <v>22.3825</v>
      </c>
      <c r="J28" s="22">
        <f t="shared" si="2"/>
        <v>84.57062500000002</v>
      </c>
      <c r="K28" s="7"/>
      <c r="L28" s="60"/>
      <c r="M28" s="60"/>
      <c r="N28" s="60"/>
      <c r="O28" s="60"/>
      <c r="P28" s="60"/>
      <c r="Q28" s="60"/>
    </row>
    <row r="29" spans="1:17" s="3" customFormat="1" ht="7.5" customHeight="1">
      <c r="A29" s="41"/>
      <c r="B29" s="123"/>
      <c r="C29" s="48"/>
      <c r="D29" s="48"/>
      <c r="E29" s="48"/>
      <c r="F29" s="48"/>
      <c r="G29" s="48"/>
      <c r="H29" s="48"/>
      <c r="I29" s="48"/>
      <c r="J29" s="48"/>
      <c r="K29" s="4"/>
      <c r="L29" s="96"/>
      <c r="M29" s="60"/>
      <c r="N29" s="60"/>
      <c r="O29" s="60"/>
      <c r="P29" s="60"/>
      <c r="Q29" s="60"/>
    </row>
    <row r="30" spans="1:9" s="13" customFormat="1" ht="7.5" customHeight="1">
      <c r="A30" s="192"/>
      <c r="B30" s="192"/>
      <c r="C30" s="192"/>
      <c r="D30" s="192"/>
      <c r="E30" s="192"/>
      <c r="F30" s="192"/>
      <c r="G30" s="192"/>
      <c r="H30" s="192"/>
      <c r="I30" s="192"/>
    </row>
    <row r="31" spans="1:9" ht="15.75" customHeight="1">
      <c r="A31" s="13"/>
      <c r="B31" s="7"/>
      <c r="C31" s="7"/>
      <c r="D31" s="232">
        <v>25</v>
      </c>
      <c r="E31" s="7" t="s">
        <v>117</v>
      </c>
      <c r="F31" s="232"/>
      <c r="G31" s="2"/>
      <c r="I31" s="7"/>
    </row>
    <row r="32" spans="1:9" s="7" customFormat="1" ht="15.75" customHeight="1">
      <c r="A32" s="107"/>
      <c r="B32" s="77"/>
      <c r="C32" s="244" t="s">
        <v>22</v>
      </c>
      <c r="D32" s="271">
        <f>C28</f>
        <v>94.724246875</v>
      </c>
      <c r="E32" s="108" t="s">
        <v>120</v>
      </c>
      <c r="F32" s="110"/>
      <c r="I32" s="107"/>
    </row>
    <row r="33" spans="1:9" s="7" customFormat="1" ht="15.75" customHeight="1">
      <c r="A33" s="107"/>
      <c r="B33" s="77"/>
      <c r="C33" s="273" t="s">
        <v>23</v>
      </c>
      <c r="D33" s="272">
        <f>SUM(D31*D32)</f>
        <v>2368.106171875</v>
      </c>
      <c r="E33" s="106" t="s">
        <v>127</v>
      </c>
      <c r="F33" s="234"/>
      <c r="I33" s="107"/>
    </row>
    <row r="34" spans="1:9" s="7" customFormat="1" ht="7.5" customHeight="1">
      <c r="A34" s="107"/>
      <c r="B34" s="77"/>
      <c r="D34" s="239"/>
      <c r="E34" s="107"/>
      <c r="F34" s="234"/>
      <c r="I34" s="107"/>
    </row>
    <row r="35" spans="1:9" s="7" customFormat="1" ht="15.75" customHeight="1">
      <c r="A35" s="107"/>
      <c r="B35" s="77"/>
      <c r="C35" s="244" t="s">
        <v>22</v>
      </c>
      <c r="D35" s="274">
        <f>Input!F92</f>
        <v>2.02</v>
      </c>
      <c r="E35" s="108" t="s">
        <v>119</v>
      </c>
      <c r="F35" s="234"/>
      <c r="I35" s="107"/>
    </row>
    <row r="36" spans="1:9" s="7" customFormat="1" ht="15.75" customHeight="1">
      <c r="A36" s="107"/>
      <c r="B36" s="77"/>
      <c r="C36" s="273" t="s">
        <v>23</v>
      </c>
      <c r="D36" s="245">
        <f>-PV(D35/100,D31,0,D33)</f>
        <v>1436.3761646846015</v>
      </c>
      <c r="E36" s="106" t="s">
        <v>121</v>
      </c>
      <c r="F36" s="270"/>
      <c r="I36" s="107"/>
    </row>
    <row r="37" spans="1:9" s="7" customFormat="1" ht="7.5" customHeight="1">
      <c r="A37" s="107"/>
      <c r="B37" s="77"/>
      <c r="C37" s="241"/>
      <c r="D37" s="242"/>
      <c r="E37" s="106"/>
      <c r="F37" s="270"/>
      <c r="I37" s="107"/>
    </row>
    <row r="38" spans="1:9" s="7" customFormat="1" ht="15.75" customHeight="1">
      <c r="A38" s="107"/>
      <c r="B38" s="77"/>
      <c r="C38" s="244" t="s">
        <v>22</v>
      </c>
      <c r="D38" s="274">
        <f>Input!F93</f>
        <v>7.1</v>
      </c>
      <c r="E38" s="108" t="s">
        <v>128</v>
      </c>
      <c r="F38" s="234"/>
      <c r="I38" s="107"/>
    </row>
    <row r="39" spans="1:9" s="7" customFormat="1" ht="15.75" customHeight="1">
      <c r="A39" s="107"/>
      <c r="B39" s="77"/>
      <c r="C39" s="273" t="s">
        <v>23</v>
      </c>
      <c r="D39" s="245">
        <f>-FV(D38/100,D31,0,D36)</f>
        <v>7980.0380217889815</v>
      </c>
      <c r="E39" s="106" t="s">
        <v>122</v>
      </c>
      <c r="F39" s="270"/>
      <c r="I39" s="107"/>
    </row>
    <row r="40" spans="1:9" s="7" customFormat="1" ht="7.5" customHeight="1">
      <c r="A40" s="107"/>
      <c r="B40" s="77"/>
      <c r="C40" s="241"/>
      <c r="D40" s="245"/>
      <c r="E40" s="106"/>
      <c r="F40" s="270"/>
      <c r="I40" s="107"/>
    </row>
    <row r="41" spans="1:9" s="7" customFormat="1" ht="15.75" customHeight="1">
      <c r="A41" s="107"/>
      <c r="B41" s="77"/>
      <c r="C41" s="244" t="s">
        <v>22</v>
      </c>
      <c r="D41" s="274">
        <f>D35</f>
        <v>2.02</v>
      </c>
      <c r="E41" s="108" t="s">
        <v>119</v>
      </c>
      <c r="F41" s="234"/>
      <c r="I41" s="107"/>
    </row>
    <row r="42" spans="1:9" s="7" customFormat="1" ht="7.5" customHeight="1">
      <c r="A42" s="107"/>
      <c r="B42" s="74"/>
      <c r="D42" s="239"/>
      <c r="E42" s="107"/>
      <c r="F42" s="109"/>
      <c r="I42" s="107"/>
    </row>
    <row r="43" spans="1:9" s="7" customFormat="1" ht="18" customHeight="1">
      <c r="A43" s="107"/>
      <c r="B43" s="74"/>
      <c r="C43" s="253" t="s">
        <v>23</v>
      </c>
      <c r="D43" s="254">
        <f>-PV(D41/100,D31,0,D39)</f>
        <v>4840.296665710302</v>
      </c>
      <c r="E43" s="255" t="s">
        <v>123</v>
      </c>
      <c r="F43" s="256"/>
      <c r="G43" s="95"/>
      <c r="H43" s="91"/>
      <c r="I43" s="107"/>
    </row>
    <row r="44" spans="1:9" s="7" customFormat="1" ht="18" customHeight="1">
      <c r="A44" s="107"/>
      <c r="B44" s="74"/>
      <c r="C44" s="266"/>
      <c r="D44" s="267"/>
      <c r="E44" s="268"/>
      <c r="F44" s="269"/>
      <c r="G44" s="266"/>
      <c r="H44" s="266"/>
      <c r="I44" s="107"/>
    </row>
    <row r="45" spans="1:10" s="9" customFormat="1" ht="15" customHeight="1">
      <c r="A45" s="13" t="s">
        <v>24</v>
      </c>
      <c r="B45" s="7"/>
      <c r="C45" s="7"/>
      <c r="D45" s="10"/>
      <c r="E45" s="10"/>
      <c r="F45" s="10"/>
      <c r="G45" s="10"/>
      <c r="H45" s="10"/>
      <c r="I45" s="10"/>
      <c r="J45" s="49"/>
    </row>
    <row r="46" spans="1:10" s="9" customFormat="1" ht="15" customHeight="1">
      <c r="A46" s="13" t="s">
        <v>107</v>
      </c>
      <c r="B46" s="7"/>
      <c r="C46" s="7"/>
      <c r="D46" s="10"/>
      <c r="E46" s="10"/>
      <c r="F46" s="10"/>
      <c r="G46" s="10"/>
      <c r="H46" s="10"/>
      <c r="I46" s="10"/>
      <c r="J46" s="49"/>
    </row>
    <row r="47" spans="1:10" s="9" customFormat="1" ht="15" customHeight="1">
      <c r="A47" s="13" t="s">
        <v>113</v>
      </c>
      <c r="B47" s="7"/>
      <c r="C47" s="7"/>
      <c r="D47" s="10"/>
      <c r="E47" s="10"/>
      <c r="F47" s="10"/>
      <c r="G47" s="10"/>
      <c r="H47" s="10"/>
      <c r="I47" s="10"/>
      <c r="J47" s="49"/>
    </row>
    <row r="48" spans="1:10" s="9" customFormat="1" ht="15" customHeight="1">
      <c r="A48" s="13" t="s">
        <v>114</v>
      </c>
      <c r="B48" s="7"/>
      <c r="C48" s="7"/>
      <c r="D48" s="10"/>
      <c r="E48" s="10"/>
      <c r="F48" s="10"/>
      <c r="G48" s="10"/>
      <c r="H48" s="10"/>
      <c r="I48" s="10"/>
      <c r="J48" s="49"/>
    </row>
    <row r="49" spans="1:10" s="9" customFormat="1" ht="15" customHeight="1">
      <c r="A49" s="13" t="s">
        <v>116</v>
      </c>
      <c r="B49" s="7"/>
      <c r="C49" s="7"/>
      <c r="D49" s="10"/>
      <c r="E49" s="10"/>
      <c r="F49" s="10"/>
      <c r="G49" s="10"/>
      <c r="H49" s="10"/>
      <c r="I49" s="10"/>
      <c r="J49" s="49"/>
    </row>
    <row r="50" ht="15.75" customHeight="1"/>
    <row r="51" spans="1:10" s="6" customFormat="1" ht="18" customHeight="1">
      <c r="A51" s="405" t="s">
        <v>223</v>
      </c>
      <c r="B51" s="405"/>
      <c r="C51" s="405"/>
      <c r="D51" s="405"/>
      <c r="E51" s="405"/>
      <c r="F51" s="405"/>
      <c r="G51" s="405"/>
      <c r="H51" s="405"/>
      <c r="I51" s="405"/>
      <c r="J51" s="51"/>
    </row>
    <row r="52" spans="1:10" s="6" customFormat="1" ht="18" customHeight="1">
      <c r="A52" s="405"/>
      <c r="B52" s="405"/>
      <c r="C52" s="405"/>
      <c r="D52" s="405"/>
      <c r="E52" s="405"/>
      <c r="F52" s="405"/>
      <c r="G52" s="405"/>
      <c r="H52" s="405"/>
      <c r="I52" s="405"/>
      <c r="J52" s="51"/>
    </row>
    <row r="53" spans="1:10" s="6" customFormat="1" ht="18">
      <c r="A53" s="405"/>
      <c r="B53" s="405"/>
      <c r="C53" s="405"/>
      <c r="D53" s="405"/>
      <c r="E53" s="405"/>
      <c r="F53" s="405"/>
      <c r="G53" s="405"/>
      <c r="H53" s="405"/>
      <c r="I53" s="405"/>
      <c r="J53" s="51"/>
    </row>
    <row r="54" spans="1:10" s="18" customFormat="1" ht="7.5" customHeight="1">
      <c r="A54" s="366"/>
      <c r="B54" s="318"/>
      <c r="C54" s="318"/>
      <c r="D54" s="318"/>
      <c r="E54" s="318"/>
      <c r="F54" s="318"/>
      <c r="G54" s="53"/>
      <c r="H54" s="53"/>
      <c r="I54" s="53"/>
      <c r="J54" s="53"/>
    </row>
    <row r="55" spans="1:16" s="18" customFormat="1" ht="14.25" customHeight="1">
      <c r="A55" s="52" t="s">
        <v>9</v>
      </c>
      <c r="B55" s="52"/>
      <c r="C55" s="52"/>
      <c r="E55" s="367"/>
      <c r="F55" s="367"/>
      <c r="G55" s="367"/>
      <c r="H55" s="368"/>
      <c r="I55" s="376" t="str">
        <f>Intro!I11</f>
        <v>Date: April,</v>
      </c>
      <c r="J55" s="370">
        <f>Intro!J11</f>
        <v>2017</v>
      </c>
      <c r="K55" s="371"/>
      <c r="L55" s="371"/>
      <c r="N55" s="372"/>
      <c r="O55" s="310"/>
      <c r="P55" s="310"/>
    </row>
    <row r="56" spans="1:16" s="18" customFormat="1" ht="15" customHeight="1">
      <c r="A56" s="373" t="s">
        <v>3</v>
      </c>
      <c r="B56" s="374"/>
      <c r="C56" s="374"/>
      <c r="D56" s="374"/>
      <c r="N56" s="372"/>
      <c r="O56" s="310"/>
      <c r="P56" s="310"/>
    </row>
    <row r="57" spans="1:10" s="17" customFormat="1" ht="15.75">
      <c r="A57" s="19" t="s">
        <v>4</v>
      </c>
      <c r="C57" s="54"/>
      <c r="D57" s="19" t="s">
        <v>124</v>
      </c>
      <c r="E57" s="54"/>
      <c r="F57" s="54"/>
      <c r="G57" s="57"/>
      <c r="H57" s="319" t="s">
        <v>31</v>
      </c>
      <c r="I57" s="54"/>
      <c r="J57" s="54"/>
    </row>
    <row r="58" spans="1:10" s="5" customFormat="1" ht="14.25">
      <c r="A58" s="56" t="s">
        <v>222</v>
      </c>
      <c r="C58" s="55"/>
      <c r="D58" s="56" t="s">
        <v>222</v>
      </c>
      <c r="E58" s="55"/>
      <c r="F58" s="55"/>
      <c r="G58" s="55"/>
      <c r="H58" s="56" t="s">
        <v>222</v>
      </c>
      <c r="I58" s="55"/>
      <c r="J58" s="55"/>
    </row>
    <row r="61" ht="7.5" customHeight="1"/>
    <row r="64" ht="7.5" customHeight="1"/>
    <row r="66" spans="1:22" s="3" customFormat="1" ht="18" customHeight="1">
      <c r="A66" s="4"/>
      <c r="B66" s="4"/>
      <c r="C66" s="4"/>
      <c r="D66" s="4"/>
      <c r="E66" s="4"/>
      <c r="F66" s="4"/>
      <c r="G66" s="4"/>
      <c r="H66" s="4"/>
      <c r="I66" s="4"/>
      <c r="J66" s="50"/>
      <c r="K66" s="2"/>
      <c r="L66" s="2"/>
      <c r="M66" s="2"/>
      <c r="N66" s="2"/>
      <c r="O66" s="2"/>
      <c r="P66" s="2"/>
      <c r="Q66" s="2"/>
      <c r="R66" s="2"/>
      <c r="S66" s="2"/>
      <c r="T66" s="2"/>
      <c r="U66" s="2"/>
      <c r="V66" s="2"/>
    </row>
  </sheetData>
  <sheetProtection password="C6A6" sheet="1" objects="1" scenarios="1"/>
  <mergeCells count="4">
    <mergeCell ref="A5:J7"/>
    <mergeCell ref="A9:J9"/>
    <mergeCell ref="L13:Q13"/>
    <mergeCell ref="A51:I53"/>
  </mergeCells>
  <hyperlinks>
    <hyperlink ref="A57" r:id="rId1" display="Roy Arnott"/>
    <hyperlink ref="H57" r:id="rId2" display="Bob Gwyer"/>
  </hyperlinks>
  <printOptions horizontalCentered="1"/>
  <pageMargins left="0.5511811023622047" right="0.5511811023622047" top="0.7874015748031497" bottom="0.984251968503937" header="0.5118110236220472" footer="0.5118110236220472"/>
  <pageSetup firstPageNumber="11" useFirstPageNumber="1" fitToHeight="1" fitToWidth="1" horizontalDpi="600" verticalDpi="600" orientation="portrait" pageOrder="overThenDown" scale="78" r:id="rId4"/>
  <headerFooter scaleWithDoc="0" alignWithMargins="0">
    <oddHeader>&amp;LGuidelines: Crop Land Purchase Values&amp;R&amp;P</oddHeader>
    <oddFooter>&amp;R&amp;9Manitoba Agriculture</oddFooter>
  </headerFooter>
  <drawing r:id="rId3"/>
</worksheet>
</file>

<file path=xl/worksheets/sheet9.xml><?xml version="1.0" encoding="utf-8"?>
<worksheet xmlns="http://schemas.openxmlformats.org/spreadsheetml/2006/main" xmlns:r="http://schemas.openxmlformats.org/officeDocument/2006/relationships">
  <sheetPr codeName="Sheet10"/>
  <dimension ref="A2:S34"/>
  <sheetViews>
    <sheetView zoomScalePageLayoutView="0" workbookViewId="0" topLeftCell="A1">
      <selection activeCell="A1" sqref="A1"/>
    </sheetView>
  </sheetViews>
  <sheetFormatPr defaultColWidth="9.140625" defaultRowHeight="12.75"/>
  <cols>
    <col min="1" max="1" width="20.28125" style="0" customWidth="1"/>
  </cols>
  <sheetData>
    <row r="2" spans="1:11" ht="15">
      <c r="A2" s="18"/>
      <c r="B2" s="377" t="s">
        <v>145</v>
      </c>
      <c r="C2" s="361"/>
      <c r="D2" s="310"/>
      <c r="H2" s="18"/>
      <c r="I2" s="309"/>
      <c r="J2" s="310"/>
      <c r="K2" s="310"/>
    </row>
    <row r="3" spans="1:11" ht="15">
      <c r="A3" s="311"/>
      <c r="B3" s="312" t="s">
        <v>146</v>
      </c>
      <c r="C3" s="312" t="s">
        <v>147</v>
      </c>
      <c r="D3" s="312" t="s">
        <v>148</v>
      </c>
      <c r="H3" s="311"/>
      <c r="I3" s="312"/>
      <c r="J3" s="312"/>
      <c r="K3" s="312"/>
    </row>
    <row r="4" spans="1:11" ht="12.75">
      <c r="A4" s="18" t="s">
        <v>129</v>
      </c>
      <c r="B4" s="361">
        <v>6.3991372549019605</v>
      </c>
      <c r="C4" s="361">
        <v>6.7022408963585445</v>
      </c>
      <c r="D4" s="361">
        <v>6.90856862745098</v>
      </c>
      <c r="H4" s="18"/>
      <c r="I4" s="310"/>
      <c r="J4" s="310"/>
      <c r="K4" s="310"/>
    </row>
    <row r="5" spans="1:11" ht="12.75">
      <c r="A5" s="18" t="s">
        <v>149</v>
      </c>
      <c r="B5" s="361">
        <v>5.28</v>
      </c>
      <c r="C5" s="361">
        <v>5.904285714285715</v>
      </c>
      <c r="D5" s="361">
        <v>6.256000000000001</v>
      </c>
      <c r="H5" s="18"/>
      <c r="I5" s="310"/>
      <c r="J5" s="310"/>
      <c r="K5" s="310"/>
    </row>
    <row r="6" spans="1:11" ht="12.75">
      <c r="A6" s="18" t="s">
        <v>17</v>
      </c>
      <c r="B6" s="361">
        <v>3.7097598054732117</v>
      </c>
      <c r="C6" s="361">
        <v>3.88676952734652</v>
      </c>
      <c r="D6" s="361">
        <v>3.6681610738253356</v>
      </c>
      <c r="H6" s="18"/>
      <c r="I6" s="310"/>
      <c r="J6" s="310"/>
      <c r="K6" s="310"/>
    </row>
    <row r="7" spans="1:11" ht="12.75">
      <c r="A7" s="18" t="s">
        <v>0</v>
      </c>
      <c r="B7" s="361">
        <v>10.838958057362158</v>
      </c>
      <c r="C7" s="361">
        <v>11.281728030001002</v>
      </c>
      <c r="D7" s="361">
        <v>10.911649467926463</v>
      </c>
      <c r="H7" s="18"/>
      <c r="I7" s="310"/>
      <c r="J7" s="310"/>
      <c r="K7" s="310"/>
    </row>
    <row r="8" spans="1:11" ht="12.75">
      <c r="A8" s="18" t="s">
        <v>11</v>
      </c>
      <c r="B8" s="361">
        <v>4.477968776053588</v>
      </c>
      <c r="C8" s="361">
        <v>4.85503076955244</v>
      </c>
      <c r="D8" s="361">
        <v>4.680575822294587</v>
      </c>
      <c r="H8" s="18"/>
      <c r="I8" s="310"/>
      <c r="J8" s="310"/>
      <c r="K8" s="310"/>
    </row>
    <row r="9" spans="1:11" ht="12.75">
      <c r="A9" s="18" t="s">
        <v>18</v>
      </c>
      <c r="B9" s="361">
        <v>3.052031122652751</v>
      </c>
      <c r="C9" s="361">
        <v>3.109634238813281</v>
      </c>
      <c r="D9" s="361">
        <v>2.9639138026494</v>
      </c>
      <c r="H9" s="18"/>
      <c r="I9" s="310"/>
      <c r="J9" s="310"/>
      <c r="K9" s="310"/>
    </row>
    <row r="10" spans="1:11" ht="12.75">
      <c r="A10" s="18" t="s">
        <v>34</v>
      </c>
      <c r="B10" s="361">
        <v>11.101718405492127</v>
      </c>
      <c r="C10" s="361">
        <v>11.277869295031653</v>
      </c>
      <c r="D10" s="361">
        <v>10.924914261874985</v>
      </c>
      <c r="H10" s="18"/>
      <c r="I10" s="310"/>
      <c r="J10" s="310"/>
      <c r="K10" s="310"/>
    </row>
    <row r="13" spans="1:19" s="313" customFormat="1" ht="11.25">
      <c r="A13" s="378" t="s">
        <v>150</v>
      </c>
      <c r="B13" s="313" t="s">
        <v>151</v>
      </c>
      <c r="C13" s="313" t="s">
        <v>152</v>
      </c>
      <c r="D13" s="313" t="s">
        <v>153</v>
      </c>
      <c r="E13" s="313" t="s">
        <v>154</v>
      </c>
      <c r="F13" s="313" t="s">
        <v>155</v>
      </c>
      <c r="G13" s="313" t="s">
        <v>156</v>
      </c>
      <c r="H13" s="313" t="s">
        <v>157</v>
      </c>
      <c r="I13" s="313" t="s">
        <v>158</v>
      </c>
      <c r="J13" s="313" t="s">
        <v>159</v>
      </c>
      <c r="K13" s="313" t="s">
        <v>160</v>
      </c>
      <c r="L13" s="313" t="s">
        <v>161</v>
      </c>
      <c r="M13" s="313" t="s">
        <v>162</v>
      </c>
      <c r="N13" s="313" t="s">
        <v>163</v>
      </c>
      <c r="O13" s="313" t="s">
        <v>164</v>
      </c>
      <c r="P13" s="313" t="s">
        <v>165</v>
      </c>
      <c r="Q13" s="313" t="s">
        <v>166</v>
      </c>
      <c r="R13" s="313" t="s">
        <v>167</v>
      </c>
      <c r="S13" s="313" t="s">
        <v>168</v>
      </c>
    </row>
    <row r="14" spans="1:19" ht="12.75">
      <c r="A14" t="s">
        <v>169</v>
      </c>
      <c r="B14" s="362">
        <v>52.4</v>
      </c>
      <c r="C14" s="362">
        <v>38.6</v>
      </c>
      <c r="D14" s="362">
        <v>52.6</v>
      </c>
      <c r="E14" s="362">
        <v>45.2</v>
      </c>
      <c r="F14" s="362">
        <v>50.2</v>
      </c>
      <c r="G14" s="362">
        <v>57</v>
      </c>
      <c r="H14" s="362">
        <v>52.4</v>
      </c>
      <c r="I14" s="362">
        <v>54.4</v>
      </c>
      <c r="J14" s="362">
        <v>50.8</v>
      </c>
      <c r="K14" s="362">
        <v>47.4</v>
      </c>
      <c r="L14" s="362">
        <v>49.4</v>
      </c>
      <c r="M14" s="362">
        <v>55</v>
      </c>
      <c r="N14" s="362">
        <v>61.4</v>
      </c>
      <c r="O14" s="362">
        <v>50.2</v>
      </c>
      <c r="P14" s="362">
        <v>45.8</v>
      </c>
      <c r="Q14" s="362">
        <v>38</v>
      </c>
      <c r="R14" s="362">
        <v>60.6</v>
      </c>
      <c r="S14" s="362">
        <v>60.4</v>
      </c>
    </row>
    <row r="15" spans="1:19" ht="12.75">
      <c r="A15" t="s">
        <v>170</v>
      </c>
      <c r="B15" s="362">
        <v>48.857142857142854</v>
      </c>
      <c r="C15" s="362">
        <v>35.142857142857146</v>
      </c>
      <c r="D15" s="362">
        <v>48.285714285714285</v>
      </c>
      <c r="E15" s="362">
        <v>42.142857142857146</v>
      </c>
      <c r="F15" s="362">
        <v>47.714285714285715</v>
      </c>
      <c r="G15" s="362">
        <v>54.142857142857146</v>
      </c>
      <c r="H15" s="362">
        <v>48.857142857142854</v>
      </c>
      <c r="I15" s="362">
        <v>50.57142857142857</v>
      </c>
      <c r="J15" s="362">
        <v>49.714285714285715</v>
      </c>
      <c r="K15" s="362">
        <v>44.142857142857146</v>
      </c>
      <c r="L15" s="362">
        <v>46.42857142857143</v>
      </c>
      <c r="M15" s="362">
        <v>50.57142857142857</v>
      </c>
      <c r="N15" s="362">
        <v>57.57142857142857</v>
      </c>
      <c r="O15" s="362">
        <v>45.714285714285715</v>
      </c>
      <c r="P15" s="362">
        <v>40.142857142857146</v>
      </c>
      <c r="Q15" s="362">
        <v>38.666666666666664</v>
      </c>
      <c r="R15" s="362">
        <v>54.57142857142857</v>
      </c>
      <c r="S15" s="362">
        <v>53.714285714285715</v>
      </c>
    </row>
    <row r="16" spans="1:19" ht="12.75">
      <c r="A16" t="s">
        <v>171</v>
      </c>
      <c r="B16" s="362">
        <v>48.4</v>
      </c>
      <c r="C16" s="362">
        <v>36.2</v>
      </c>
      <c r="D16" s="362">
        <v>48.1</v>
      </c>
      <c r="E16" s="362">
        <v>41.8</v>
      </c>
      <c r="F16" s="362">
        <v>47</v>
      </c>
      <c r="G16" s="362">
        <v>53.6</v>
      </c>
      <c r="H16" s="362">
        <v>47.8</v>
      </c>
      <c r="I16" s="362">
        <v>48.9</v>
      </c>
      <c r="J16" s="362">
        <v>50.4</v>
      </c>
      <c r="K16" s="362">
        <v>44</v>
      </c>
      <c r="L16" s="362">
        <v>47.6</v>
      </c>
      <c r="M16" s="362">
        <v>50.8</v>
      </c>
      <c r="N16" s="362">
        <v>57.3</v>
      </c>
      <c r="O16" s="362">
        <v>41.8</v>
      </c>
      <c r="P16" s="362">
        <v>36.9</v>
      </c>
      <c r="Q16" s="362">
        <v>40.55555555555556</v>
      </c>
      <c r="R16" s="362">
        <v>53.4</v>
      </c>
      <c r="S16" s="362">
        <v>52.3</v>
      </c>
    </row>
    <row r="17" spans="1:19" ht="12.75">
      <c r="A17" t="s">
        <v>172</v>
      </c>
      <c r="B17" s="362">
        <v>64.6</v>
      </c>
      <c r="C17" s="362">
        <v>45</v>
      </c>
      <c r="D17" s="362">
        <v>56.2</v>
      </c>
      <c r="E17" s="362">
        <v>47</v>
      </c>
      <c r="F17" s="362">
        <v>56.6</v>
      </c>
      <c r="G17" s="362">
        <v>60.6</v>
      </c>
      <c r="H17" s="362">
        <v>57.2</v>
      </c>
      <c r="I17" s="362">
        <v>55</v>
      </c>
      <c r="J17" s="362" t="s">
        <v>173</v>
      </c>
      <c r="K17" s="362">
        <v>47.6</v>
      </c>
      <c r="L17" s="362">
        <v>57.2</v>
      </c>
      <c r="M17" s="362">
        <v>68.6</v>
      </c>
      <c r="N17" s="362">
        <v>74</v>
      </c>
      <c r="O17" s="362">
        <v>67.4</v>
      </c>
      <c r="P17" s="362">
        <v>57.8</v>
      </c>
      <c r="Q17" s="362" t="s">
        <v>173</v>
      </c>
      <c r="R17" s="362">
        <v>75.6</v>
      </c>
      <c r="S17" s="362">
        <v>75.8</v>
      </c>
    </row>
    <row r="18" spans="1:19" ht="12.75">
      <c r="A18" t="s">
        <v>174</v>
      </c>
      <c r="B18" s="362">
        <v>63.285714285714285</v>
      </c>
      <c r="C18" s="362">
        <v>44.714285714285715</v>
      </c>
      <c r="D18" s="362">
        <v>57.285714285714285</v>
      </c>
      <c r="E18" s="362">
        <v>45.57142857142857</v>
      </c>
      <c r="F18" s="362">
        <v>57.714285714285715</v>
      </c>
      <c r="G18" s="362">
        <v>62.714285714285715</v>
      </c>
      <c r="H18" s="362">
        <v>58.714285714285715</v>
      </c>
      <c r="I18" s="362">
        <v>59</v>
      </c>
      <c r="J18" s="362" t="s">
        <v>173</v>
      </c>
      <c r="K18" s="362">
        <v>45.714285714285715</v>
      </c>
      <c r="L18" s="362">
        <v>57.714285714285715</v>
      </c>
      <c r="M18" s="362">
        <v>67.85714285714286</v>
      </c>
      <c r="N18" s="362">
        <v>72.28571428571429</v>
      </c>
      <c r="O18" s="362">
        <v>64.71428571428571</v>
      </c>
      <c r="P18" s="362">
        <v>56.285714285714285</v>
      </c>
      <c r="Q18" s="362" t="s">
        <v>173</v>
      </c>
      <c r="R18" s="362">
        <v>72.71428571428571</v>
      </c>
      <c r="S18" s="362">
        <v>72.57142857142857</v>
      </c>
    </row>
    <row r="19" spans="1:19" ht="12.75">
      <c r="A19" t="s">
        <v>175</v>
      </c>
      <c r="B19" s="362">
        <v>64</v>
      </c>
      <c r="C19" s="362">
        <v>46.1</v>
      </c>
      <c r="D19" s="362">
        <v>59.4</v>
      </c>
      <c r="E19" s="362">
        <v>47.6</v>
      </c>
      <c r="F19" s="362">
        <v>58.2</v>
      </c>
      <c r="G19" s="362">
        <v>64.7</v>
      </c>
      <c r="H19" s="362">
        <v>58.5</v>
      </c>
      <c r="I19" s="362">
        <v>59.375</v>
      </c>
      <c r="J19" s="362">
        <v>52</v>
      </c>
      <c r="K19" s="362">
        <v>46.9</v>
      </c>
      <c r="L19" s="362">
        <v>60.7</v>
      </c>
      <c r="M19" s="362">
        <v>69.8</v>
      </c>
      <c r="N19" s="362">
        <v>72.7</v>
      </c>
      <c r="O19" s="362">
        <v>63</v>
      </c>
      <c r="P19" s="362">
        <v>56.333333333333336</v>
      </c>
      <c r="Q19" s="362" t="s">
        <v>173</v>
      </c>
      <c r="R19" s="362">
        <v>72.4</v>
      </c>
      <c r="S19" s="362">
        <v>71.6</v>
      </c>
    </row>
    <row r="20" spans="1:19" ht="12.75">
      <c r="A20" t="s">
        <v>176</v>
      </c>
      <c r="B20" s="362">
        <v>67.4</v>
      </c>
      <c r="C20" s="362">
        <v>53</v>
      </c>
      <c r="D20" s="362">
        <v>69.8</v>
      </c>
      <c r="E20" s="362">
        <v>54.6</v>
      </c>
      <c r="F20" s="362">
        <v>60.8</v>
      </c>
      <c r="G20" s="362">
        <v>76</v>
      </c>
      <c r="H20" s="362">
        <v>67.8</v>
      </c>
      <c r="I20" s="362">
        <v>64.6</v>
      </c>
      <c r="J20" s="362">
        <v>54.8</v>
      </c>
      <c r="K20" s="362">
        <v>53.2</v>
      </c>
      <c r="L20" s="362">
        <v>61.4</v>
      </c>
      <c r="M20" s="362">
        <v>71.8</v>
      </c>
      <c r="N20" s="362">
        <v>76.6</v>
      </c>
      <c r="O20" s="362">
        <v>62.6</v>
      </c>
      <c r="P20" s="362">
        <v>57.8</v>
      </c>
      <c r="Q20" s="362">
        <v>22.2</v>
      </c>
      <c r="R20" s="362">
        <v>81.2</v>
      </c>
      <c r="S20" s="362">
        <v>82.4</v>
      </c>
    </row>
    <row r="21" spans="1:19" ht="12.75">
      <c r="A21" t="s">
        <v>177</v>
      </c>
      <c r="B21" s="362">
        <v>61</v>
      </c>
      <c r="C21" s="362">
        <v>45.714285714285715</v>
      </c>
      <c r="D21" s="362">
        <v>63.714285714285715</v>
      </c>
      <c r="E21" s="362">
        <v>50</v>
      </c>
      <c r="F21" s="362">
        <v>58.42857142857143</v>
      </c>
      <c r="G21" s="362">
        <v>71.57142857142857</v>
      </c>
      <c r="H21" s="362">
        <v>60.285714285714285</v>
      </c>
      <c r="I21" s="362">
        <v>59</v>
      </c>
      <c r="J21" s="362">
        <v>49.142857142857146</v>
      </c>
      <c r="K21" s="362">
        <v>47.857142857142854</v>
      </c>
      <c r="L21" s="362">
        <v>54.42857142857143</v>
      </c>
      <c r="M21" s="362">
        <v>65</v>
      </c>
      <c r="N21" s="362">
        <v>68.28571428571429</v>
      </c>
      <c r="O21" s="362">
        <v>55.142857142857146</v>
      </c>
      <c r="P21" s="362">
        <v>49</v>
      </c>
      <c r="Q21" s="362">
        <v>25.142857142857142</v>
      </c>
      <c r="R21" s="362">
        <v>69.57142857142857</v>
      </c>
      <c r="S21" s="362">
        <v>69.85714285714286</v>
      </c>
    </row>
    <row r="22" spans="1:19" ht="12.75">
      <c r="A22" t="s">
        <v>178</v>
      </c>
      <c r="B22" s="362">
        <v>62.9</v>
      </c>
      <c r="C22" s="362">
        <v>48.9</v>
      </c>
      <c r="D22" s="362">
        <v>66.2</v>
      </c>
      <c r="E22" s="362">
        <v>52.7</v>
      </c>
      <c r="F22" s="362">
        <v>61.2</v>
      </c>
      <c r="G22" s="362">
        <v>72.6</v>
      </c>
      <c r="H22" s="362">
        <v>62.6</v>
      </c>
      <c r="I22" s="362">
        <v>61.3</v>
      </c>
      <c r="J22" s="362">
        <v>51.1</v>
      </c>
      <c r="K22" s="362">
        <v>51.3</v>
      </c>
      <c r="L22" s="362">
        <v>56.6</v>
      </c>
      <c r="M22" s="362">
        <v>68.8</v>
      </c>
      <c r="N22" s="362">
        <v>70.4</v>
      </c>
      <c r="O22" s="362">
        <v>52.7</v>
      </c>
      <c r="P22" s="362">
        <v>45.9</v>
      </c>
      <c r="Q22" s="362">
        <v>33.8</v>
      </c>
      <c r="R22" s="362">
        <v>71.1</v>
      </c>
      <c r="S22" s="362">
        <v>71.3</v>
      </c>
    </row>
    <row r="23" spans="1:19" ht="12.75">
      <c r="A23" t="s">
        <v>179</v>
      </c>
      <c r="B23" s="362">
        <v>37.8</v>
      </c>
      <c r="C23" s="362">
        <v>29.8</v>
      </c>
      <c r="D23" s="362">
        <v>36.8</v>
      </c>
      <c r="E23" s="362">
        <v>34.6</v>
      </c>
      <c r="F23" s="362">
        <v>39</v>
      </c>
      <c r="G23" s="362">
        <v>41.4</v>
      </c>
      <c r="H23" s="362">
        <v>40.4</v>
      </c>
      <c r="I23" s="362">
        <v>40</v>
      </c>
      <c r="J23" s="362">
        <v>36</v>
      </c>
      <c r="K23" s="362">
        <v>35.2</v>
      </c>
      <c r="L23" s="362">
        <v>36.2</v>
      </c>
      <c r="M23" s="362">
        <v>37.2</v>
      </c>
      <c r="N23" s="362">
        <v>42.6</v>
      </c>
      <c r="O23" s="362">
        <v>33.6</v>
      </c>
      <c r="P23" s="362">
        <v>32.2</v>
      </c>
      <c r="Q23" s="362">
        <v>23</v>
      </c>
      <c r="R23" s="362">
        <v>41.2</v>
      </c>
      <c r="S23" s="362">
        <v>41</v>
      </c>
    </row>
    <row r="24" spans="1:19" ht="12.75">
      <c r="A24" t="s">
        <v>180</v>
      </c>
      <c r="B24" s="362">
        <v>35.857142857142854</v>
      </c>
      <c r="C24" s="362">
        <v>27</v>
      </c>
      <c r="D24" s="362">
        <v>35</v>
      </c>
      <c r="E24" s="362">
        <v>32.42857142857143</v>
      </c>
      <c r="F24" s="362">
        <v>37.142857142857146</v>
      </c>
      <c r="G24" s="362">
        <v>40.857142857142854</v>
      </c>
      <c r="H24" s="362">
        <v>37.57142857142857</v>
      </c>
      <c r="I24" s="362">
        <v>38.142857142857146</v>
      </c>
      <c r="J24" s="362">
        <v>36.42857142857143</v>
      </c>
      <c r="K24" s="362">
        <v>33.285714285714285</v>
      </c>
      <c r="L24" s="362">
        <v>35.285714285714285</v>
      </c>
      <c r="M24" s="362">
        <v>35</v>
      </c>
      <c r="N24" s="362">
        <v>41.142857142857146</v>
      </c>
      <c r="O24" s="362">
        <v>29.857142857142858</v>
      </c>
      <c r="P24" s="362">
        <v>27.857142857142858</v>
      </c>
      <c r="Q24" s="362">
        <v>24.428571428571427</v>
      </c>
      <c r="R24" s="362">
        <v>37.42857142857143</v>
      </c>
      <c r="S24" s="362">
        <v>36.42857142857143</v>
      </c>
    </row>
    <row r="25" spans="1:19" ht="12.75">
      <c r="A25" t="s">
        <v>181</v>
      </c>
      <c r="B25" s="362">
        <v>36.1</v>
      </c>
      <c r="C25" s="362">
        <v>28.4</v>
      </c>
      <c r="D25" s="362">
        <v>36.1</v>
      </c>
      <c r="E25" s="362">
        <v>33.2</v>
      </c>
      <c r="F25" s="362">
        <v>37.4</v>
      </c>
      <c r="G25" s="362">
        <v>41</v>
      </c>
      <c r="H25" s="362">
        <v>37.7</v>
      </c>
      <c r="I25" s="362">
        <v>38.4</v>
      </c>
      <c r="J25" s="362">
        <v>37.8</v>
      </c>
      <c r="K25" s="362">
        <v>33.9</v>
      </c>
      <c r="L25" s="362">
        <v>35.7</v>
      </c>
      <c r="M25" s="362">
        <v>35.4</v>
      </c>
      <c r="N25" s="362">
        <v>41.3</v>
      </c>
      <c r="O25" s="362">
        <v>28.7</v>
      </c>
      <c r="P25" s="362">
        <v>26.7</v>
      </c>
      <c r="Q25" s="362">
        <v>27</v>
      </c>
      <c r="R25" s="362">
        <v>37</v>
      </c>
      <c r="S25" s="362">
        <v>36</v>
      </c>
    </row>
    <row r="26" spans="1:19" ht="12.75">
      <c r="A26" t="s">
        <v>182</v>
      </c>
      <c r="B26" s="362">
        <v>130.8</v>
      </c>
      <c r="C26" s="362">
        <v>86.6</v>
      </c>
      <c r="D26" s="362">
        <v>117</v>
      </c>
      <c r="E26" s="362">
        <v>97.75</v>
      </c>
      <c r="F26" s="362">
        <v>117.8</v>
      </c>
      <c r="G26" s="362">
        <v>121.8</v>
      </c>
      <c r="H26" s="362">
        <v>125.33333333333333</v>
      </c>
      <c r="I26" s="362" t="s">
        <v>173</v>
      </c>
      <c r="J26" s="362" t="s">
        <v>173</v>
      </c>
      <c r="K26" s="362">
        <v>108</v>
      </c>
      <c r="L26" s="362">
        <v>119.4</v>
      </c>
      <c r="M26" s="362">
        <v>126.8</v>
      </c>
      <c r="N26" s="362">
        <v>144</v>
      </c>
      <c r="O26" s="362">
        <v>124</v>
      </c>
      <c r="P26" s="362">
        <v>81.66666666666667</v>
      </c>
      <c r="Q26" s="362" t="s">
        <v>173</v>
      </c>
      <c r="R26" s="362">
        <v>140.4</v>
      </c>
      <c r="S26" s="362">
        <v>135.6</v>
      </c>
    </row>
    <row r="27" spans="1:19" ht="12.75">
      <c r="A27" t="s">
        <v>183</v>
      </c>
      <c r="B27" s="362">
        <v>122.28571428571429</v>
      </c>
      <c r="C27" s="362">
        <v>86.6</v>
      </c>
      <c r="D27" s="362">
        <v>111.5</v>
      </c>
      <c r="E27" s="362">
        <v>97.75</v>
      </c>
      <c r="F27" s="362">
        <v>110.14285714285714</v>
      </c>
      <c r="G27" s="362">
        <v>117.42857142857143</v>
      </c>
      <c r="H27" s="362">
        <v>125.33333333333333</v>
      </c>
      <c r="I27" s="362" t="s">
        <v>173</v>
      </c>
      <c r="J27" s="362" t="s">
        <v>173</v>
      </c>
      <c r="K27" s="362">
        <v>108</v>
      </c>
      <c r="L27" s="362">
        <v>112.71428571428571</v>
      </c>
      <c r="M27" s="362">
        <v>119.14285714285714</v>
      </c>
      <c r="N27" s="362">
        <v>137</v>
      </c>
      <c r="O27" s="362">
        <v>110.85714285714286</v>
      </c>
      <c r="P27" s="362">
        <v>81.66666666666667</v>
      </c>
      <c r="Q27" s="362" t="s">
        <v>173</v>
      </c>
      <c r="R27" s="362">
        <v>130.85714285714286</v>
      </c>
      <c r="S27" s="362">
        <v>121.57142857142857</v>
      </c>
    </row>
    <row r="28" spans="1:19" ht="12.75">
      <c r="A28" t="s">
        <v>184</v>
      </c>
      <c r="B28" s="362">
        <v>113.4</v>
      </c>
      <c r="C28" s="362">
        <v>73.14285714285714</v>
      </c>
      <c r="D28" s="362">
        <v>103.25</v>
      </c>
      <c r="E28" s="362">
        <v>97.75</v>
      </c>
      <c r="F28" s="362">
        <v>105.6</v>
      </c>
      <c r="G28" s="362">
        <v>108.7</v>
      </c>
      <c r="H28" s="362">
        <v>125.33333333333333</v>
      </c>
      <c r="I28" s="362" t="s">
        <v>173</v>
      </c>
      <c r="J28" s="362" t="s">
        <v>173</v>
      </c>
      <c r="K28" s="362">
        <v>108</v>
      </c>
      <c r="L28" s="362">
        <v>105.4</v>
      </c>
      <c r="M28" s="362">
        <v>110.7</v>
      </c>
      <c r="N28" s="362">
        <v>126.5</v>
      </c>
      <c r="O28" s="362">
        <v>100.8</v>
      </c>
      <c r="P28" s="362">
        <v>81.66666666666667</v>
      </c>
      <c r="Q28" s="362" t="s">
        <v>173</v>
      </c>
      <c r="R28" s="362">
        <v>120.4</v>
      </c>
      <c r="S28" s="362">
        <v>110.2</v>
      </c>
    </row>
    <row r="29" spans="1:19" ht="12.75">
      <c r="A29" t="s">
        <v>185</v>
      </c>
      <c r="B29" s="362">
        <v>96</v>
      </c>
      <c r="C29" s="362">
        <v>72.2</v>
      </c>
      <c r="D29" s="362">
        <v>91.8</v>
      </c>
      <c r="E29" s="362">
        <v>67.8</v>
      </c>
      <c r="F29" s="362">
        <v>73.4</v>
      </c>
      <c r="G29" s="362">
        <v>104</v>
      </c>
      <c r="H29" s="362">
        <v>89.4</v>
      </c>
      <c r="I29" s="362">
        <v>93</v>
      </c>
      <c r="J29" s="362">
        <v>75.2</v>
      </c>
      <c r="K29" s="362">
        <v>68.4</v>
      </c>
      <c r="L29" s="362">
        <v>83.4</v>
      </c>
      <c r="M29" s="362">
        <v>91.8</v>
      </c>
      <c r="N29" s="362">
        <v>123.6</v>
      </c>
      <c r="O29" s="362">
        <v>84.4</v>
      </c>
      <c r="P29" s="362">
        <v>77.6</v>
      </c>
      <c r="Q29" s="362">
        <v>35.25</v>
      </c>
      <c r="R29" s="362">
        <v>121.8</v>
      </c>
      <c r="S29" s="362">
        <v>121.8</v>
      </c>
    </row>
    <row r="30" spans="1:19" ht="12.75">
      <c r="A30" t="s">
        <v>186</v>
      </c>
      <c r="B30" s="362">
        <v>89.14285714285714</v>
      </c>
      <c r="C30" s="362">
        <v>67.57142857142857</v>
      </c>
      <c r="D30" s="362">
        <v>89.71428571428571</v>
      </c>
      <c r="E30" s="362">
        <v>64.71428571428571</v>
      </c>
      <c r="F30" s="362">
        <v>71.71428571428571</v>
      </c>
      <c r="G30" s="362">
        <v>99.42857142857143</v>
      </c>
      <c r="H30" s="362">
        <v>85.85714285714286</v>
      </c>
      <c r="I30" s="362">
        <v>90.14285714285714</v>
      </c>
      <c r="J30" s="362">
        <v>75</v>
      </c>
      <c r="K30" s="362">
        <v>66.14285714285714</v>
      </c>
      <c r="L30" s="362">
        <v>80.42857142857143</v>
      </c>
      <c r="M30" s="362">
        <v>84.71428571428571</v>
      </c>
      <c r="N30" s="362">
        <v>116</v>
      </c>
      <c r="O30" s="362">
        <v>75.57142857142857</v>
      </c>
      <c r="P30" s="362">
        <v>69.42857142857143</v>
      </c>
      <c r="Q30" s="362">
        <v>44</v>
      </c>
      <c r="R30" s="362">
        <v>108.57142857142857</v>
      </c>
      <c r="S30" s="362">
        <v>108</v>
      </c>
    </row>
    <row r="31" spans="1:19" ht="12.75">
      <c r="A31" t="s">
        <v>187</v>
      </c>
      <c r="B31" s="362">
        <v>91.4</v>
      </c>
      <c r="C31" s="362">
        <v>70</v>
      </c>
      <c r="D31" s="362">
        <v>94</v>
      </c>
      <c r="E31" s="362">
        <v>66.5</v>
      </c>
      <c r="F31" s="362">
        <v>74.2</v>
      </c>
      <c r="G31" s="362">
        <v>100.6</v>
      </c>
      <c r="H31" s="362">
        <v>89.9</v>
      </c>
      <c r="I31" s="362">
        <v>91.5</v>
      </c>
      <c r="J31" s="362">
        <v>75.3</v>
      </c>
      <c r="K31" s="362">
        <v>68.9</v>
      </c>
      <c r="L31" s="362">
        <v>83.7</v>
      </c>
      <c r="M31" s="362">
        <v>90</v>
      </c>
      <c r="N31" s="362">
        <v>117</v>
      </c>
      <c r="O31" s="362">
        <v>73.8</v>
      </c>
      <c r="P31" s="362">
        <v>68.5</v>
      </c>
      <c r="Q31" s="362">
        <v>54.333333333333336</v>
      </c>
      <c r="R31" s="362">
        <v>109.8</v>
      </c>
      <c r="S31" s="362">
        <v>109.2</v>
      </c>
    </row>
    <row r="32" spans="1:19" ht="12.75">
      <c r="A32" t="s">
        <v>188</v>
      </c>
      <c r="B32" s="362">
        <v>37.8</v>
      </c>
      <c r="C32" s="362">
        <v>30.8</v>
      </c>
      <c r="D32" s="362">
        <v>36.8</v>
      </c>
      <c r="E32" s="362">
        <v>30.6</v>
      </c>
      <c r="F32" s="362">
        <v>37.2</v>
      </c>
      <c r="G32" s="362">
        <v>36.8</v>
      </c>
      <c r="H32" s="362">
        <v>34.6</v>
      </c>
      <c r="I32" s="362">
        <v>32.25</v>
      </c>
      <c r="J32" s="362">
        <v>30.4</v>
      </c>
      <c r="K32" s="362">
        <v>34.8</v>
      </c>
      <c r="L32" s="362">
        <v>36.4</v>
      </c>
      <c r="M32" s="362">
        <v>38.4</v>
      </c>
      <c r="N32" s="362">
        <v>40.6</v>
      </c>
      <c r="O32" s="362">
        <v>36.4</v>
      </c>
      <c r="P32" s="362">
        <v>33.2</v>
      </c>
      <c r="Q32" s="362">
        <v>29</v>
      </c>
      <c r="R32" s="362">
        <v>39</v>
      </c>
      <c r="S32" s="362">
        <v>39</v>
      </c>
    </row>
    <row r="33" spans="1:19" ht="12.75">
      <c r="A33" t="s">
        <v>189</v>
      </c>
      <c r="B33" s="362">
        <v>35.285714285714285</v>
      </c>
      <c r="C33" s="362">
        <v>30.833333333333332</v>
      </c>
      <c r="D33" s="362">
        <v>36.666666666666664</v>
      </c>
      <c r="E33" s="362">
        <v>30.333333333333332</v>
      </c>
      <c r="F33" s="362">
        <v>36</v>
      </c>
      <c r="G33" s="362">
        <v>35.142857142857146</v>
      </c>
      <c r="H33" s="362">
        <v>34.6</v>
      </c>
      <c r="I33" s="362">
        <v>31.2</v>
      </c>
      <c r="J33" s="362">
        <v>30.4</v>
      </c>
      <c r="K33" s="362">
        <v>33.285714285714285</v>
      </c>
      <c r="L33" s="362">
        <v>34.57142857142857</v>
      </c>
      <c r="M33" s="362">
        <v>35.714285714285715</v>
      </c>
      <c r="N33" s="362">
        <v>39.57142857142857</v>
      </c>
      <c r="O33" s="362">
        <v>33</v>
      </c>
      <c r="P33" s="362">
        <v>31.142857142857142</v>
      </c>
      <c r="Q33" s="362">
        <v>29</v>
      </c>
      <c r="R33" s="362">
        <v>36.42857142857143</v>
      </c>
      <c r="S33" s="362">
        <v>36</v>
      </c>
    </row>
    <row r="34" spans="1:19" ht="12.75">
      <c r="A34" t="s">
        <v>190</v>
      </c>
      <c r="B34" s="362">
        <v>34.6</v>
      </c>
      <c r="C34" s="362">
        <v>29</v>
      </c>
      <c r="D34" s="362">
        <v>35.44444444444444</v>
      </c>
      <c r="E34" s="362">
        <v>29.285714285714285</v>
      </c>
      <c r="F34" s="362">
        <v>34.888888888888886</v>
      </c>
      <c r="G34" s="362">
        <v>34.1</v>
      </c>
      <c r="H34" s="362">
        <v>34.6</v>
      </c>
      <c r="I34" s="362">
        <v>31.2</v>
      </c>
      <c r="J34" s="362">
        <v>30.4</v>
      </c>
      <c r="K34" s="362">
        <v>33.125</v>
      </c>
      <c r="L34" s="362">
        <v>33.4</v>
      </c>
      <c r="M34" s="362">
        <v>34.5</v>
      </c>
      <c r="N34" s="362">
        <v>38.9</v>
      </c>
      <c r="O34" s="362">
        <v>31.7</v>
      </c>
      <c r="P34" s="362">
        <v>27.9</v>
      </c>
      <c r="Q34" s="362">
        <v>29</v>
      </c>
      <c r="R34" s="362">
        <v>35.8</v>
      </c>
      <c r="S34" s="362">
        <v>35.3</v>
      </c>
    </row>
  </sheetData>
  <sheetProtection password="C6A6" sheet="1" selectLockedCells="1"/>
  <printOptions/>
  <pageMargins left="0.7" right="0.7" top="0.75" bottom="0.75" header="0.3" footer="0.3"/>
  <pageSetup horizontalDpi="600" verticalDpi="600" orientation="portrait" scale="90"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Land Value Planner</dc:title>
  <dc:subject/>
  <dc:creator>Roy Arnott</dc:creator>
  <cp:keywords/>
  <dc:description/>
  <cp:lastModifiedBy>Roy Arnott</cp:lastModifiedBy>
  <cp:lastPrinted>2016-09-07T20:17:22Z</cp:lastPrinted>
  <dcterms:created xsi:type="dcterms:W3CDTF">2013-10-30T18:43:08Z</dcterms:created>
  <dcterms:modified xsi:type="dcterms:W3CDTF">2017-03-08T22:11:55Z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ContentTypeId">
    <vt:lpwstr>0x010100ACAADE3355E29C4E95B09CD45679A285</vt:lpwstr>
  </property>
  <property fmtid="{D5CDD505-2E9C-101B-9397-08002B2CF9AE}" pid="9" name="_SourceUrl">
    <vt:lpwstr/>
  </property>
  <property fmtid="{D5CDD505-2E9C-101B-9397-08002B2CF9AE}" pid="10" name="_SharedFileIndex">
    <vt:lpwstr/>
  </property>
</Properties>
</file>