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115" activeTab="0"/>
  </bookViews>
  <sheets>
    <sheet name="CowPlan" sheetId="1" r:id="rId1"/>
  </sheets>
  <externalReferences>
    <externalReference r:id="rId4"/>
  </externalReferences>
  <definedNames>
    <definedName name="\A" localSheetId="0">#REF!</definedName>
    <definedName name="\A">#REF!</definedName>
    <definedName name="\B" localSheetId="0">#REF!</definedName>
    <definedName name="\B">#REF!</definedName>
    <definedName name="\C" localSheetId="0">#REF!</definedName>
    <definedName name="\C">#N/A</definedName>
    <definedName name="\D" localSheetId="0">#REF!</definedName>
    <definedName name="\D">#N/A</definedName>
    <definedName name="\E" localSheetId="0">#REF!</definedName>
    <definedName name="\E">#REF!</definedName>
    <definedName name="\F" localSheetId="0">#REF!</definedName>
    <definedName name="\F">#REF!</definedName>
    <definedName name="\H" localSheetId="0">#REF!</definedName>
    <definedName name="\H">#N/A</definedName>
    <definedName name="\I" localSheetId="0">#REF!</definedName>
    <definedName name="\I">#N/A</definedName>
    <definedName name="\K">#N/A</definedName>
    <definedName name="\L" localSheetId="0">#REF!</definedName>
    <definedName name="\L">#REF!</definedName>
    <definedName name="\N" localSheetId="0">#REF!</definedName>
    <definedName name="\N">#N/A</definedName>
    <definedName name="\O" localSheetId="0">#REF!</definedName>
    <definedName name="\O">#REF!</definedName>
    <definedName name="\P">#N/A</definedName>
    <definedName name="\R" localSheetId="0">#REF!</definedName>
    <definedName name="\R">#REF!</definedName>
    <definedName name="\S" localSheetId="0">#REF!</definedName>
    <definedName name="\S">#N/A</definedName>
    <definedName name="\T" localSheetId="0">#REF!</definedName>
    <definedName name="\T">#REF!</definedName>
    <definedName name="\U" localSheetId="0">#REF!</definedName>
    <definedName name="\U">#REF!</definedName>
    <definedName name="\W" localSheetId="0">#REF!</definedName>
    <definedName name="\W">#N/A</definedName>
    <definedName name="\X">#N/A</definedName>
    <definedName name="\Y" localSheetId="0">#REF!</definedName>
    <definedName name="\Y">#REF!</definedName>
    <definedName name="ALL">#N/A</definedName>
    <definedName name="_xlnm.Print_Area" localSheetId="0">'CowPlan'!$A$1:$K$65</definedName>
  </definedNames>
  <calcPr fullCalcOnLoad="1"/>
</workbook>
</file>

<file path=xl/sharedStrings.xml><?xml version="1.0" encoding="utf-8"?>
<sst xmlns="http://schemas.openxmlformats.org/spreadsheetml/2006/main" count="79" uniqueCount="62">
  <si>
    <t>1 Year</t>
  </si>
  <si>
    <t>2 Years</t>
  </si>
  <si>
    <t>3 Years</t>
  </si>
  <si>
    <t>4 Years</t>
  </si>
  <si>
    <t>5 Years</t>
  </si>
  <si>
    <t>6 Years</t>
  </si>
  <si>
    <t>7 Years</t>
  </si>
  <si>
    <t>8 Years</t>
  </si>
  <si>
    <t>Operating Expense (per Cow)</t>
  </si>
  <si>
    <r>
      <t>Other Operating Cost</t>
    </r>
    <r>
      <rPr>
        <vertAlign val="superscript"/>
        <sz val="12"/>
        <rFont val="Arial"/>
        <family val="2"/>
      </rPr>
      <t>2</t>
    </r>
  </si>
  <si>
    <t>Operating Interest</t>
  </si>
  <si>
    <t>Total Operating Cost</t>
  </si>
  <si>
    <r>
      <t>Total Fixed Cost</t>
    </r>
    <r>
      <rPr>
        <vertAlign val="superscript"/>
        <sz val="12"/>
        <rFont val="Arial"/>
        <family val="2"/>
      </rPr>
      <t>2</t>
    </r>
  </si>
  <si>
    <t>Total Operating and Fixed Cost</t>
  </si>
  <si>
    <r>
      <t>Total Labour (Living) Cost</t>
    </r>
    <r>
      <rPr>
        <vertAlign val="superscript"/>
        <sz val="12"/>
        <rFont val="Arial"/>
        <family val="2"/>
      </rPr>
      <t>2</t>
    </r>
  </si>
  <si>
    <t>Total Cost Per Cow</t>
  </si>
  <si>
    <t>Income (per Cow)</t>
  </si>
  <si>
    <t>Calf Market Price ($/cwt)</t>
  </si>
  <si>
    <t>Calf Revenue</t>
  </si>
  <si>
    <t>Cull Cow Market Price ($/cwt)</t>
  </si>
  <si>
    <t>Cull Cow Revenue</t>
  </si>
  <si>
    <t>Over Operating Costs</t>
  </si>
  <si>
    <t>Over Operating &amp; Labour Costs</t>
  </si>
  <si>
    <t>Over Operating &amp; Fixed Costs</t>
  </si>
  <si>
    <t>Over Total Costs (Net Profit)</t>
  </si>
  <si>
    <t>%</t>
  </si>
  <si>
    <t>Average Cow Weight</t>
  </si>
  <si>
    <t>lbs</t>
  </si>
  <si>
    <t>Calf Crop</t>
  </si>
  <si>
    <t>Steer Calf Weight</t>
  </si>
  <si>
    <t>Heifer Calf Weight</t>
  </si>
  <si>
    <t>Average Calf Weight</t>
  </si>
  <si>
    <t>Weighted Average Calf Market Price</t>
  </si>
  <si>
    <t>/cwt</t>
  </si>
  <si>
    <t>Operating Interest Rate</t>
  </si>
  <si>
    <t xml:space="preserve">Investment Rate  </t>
  </si>
  <si>
    <t>Cull Cow Market Value</t>
  </si>
  <si>
    <t xml:space="preserve">Calf Marginal Returns </t>
  </si>
  <si>
    <t xml:space="preserve">  Over Operating Costs</t>
  </si>
  <si>
    <t xml:space="preserve">  Over Operating &amp; Labour Costs</t>
  </si>
  <si>
    <t xml:space="preserve">  Over Operating &amp; Fixed Costs</t>
  </si>
  <si>
    <t xml:space="preserve">  Over Total Costs (Net Profit)</t>
  </si>
  <si>
    <t>Printed:</t>
  </si>
  <si>
    <t>. . . . . . . . . . . . . . . . . . . . . . . . . . . . . . . . . . . . . . . . . . . . . . . . . . . . . . . . . . . . . . . . . . .</t>
  </si>
  <si>
    <t xml:space="preserve">Created and maintained by </t>
  </si>
  <si>
    <t xml:space="preserve">For more information, contact your local </t>
  </si>
  <si>
    <t>Roy Arnott</t>
  </si>
  <si>
    <t>Benjamin Hamm</t>
  </si>
  <si>
    <t>Greg Fedak</t>
  </si>
  <si>
    <r>
      <t>Estimated Breakeven Replacement Purchase Values</t>
    </r>
    <r>
      <rPr>
        <b/>
        <vertAlign val="superscript"/>
        <sz val="14"/>
        <color indexed="9"/>
        <rFont val="Arial"/>
        <family val="2"/>
      </rPr>
      <t>1</t>
    </r>
    <r>
      <rPr>
        <b/>
        <sz val="14"/>
        <color indexed="9"/>
        <rFont val="Arial"/>
        <family val="2"/>
      </rPr>
      <t xml:space="preserve"> - Number of Years Before Culling</t>
    </r>
  </si>
  <si>
    <t>Cull Cow Market Price (current)</t>
  </si>
  <si>
    <t>Steer Calf Market Price (current)</t>
  </si>
  <si>
    <t>Heifer Calf Market Price (current)</t>
  </si>
  <si>
    <t>Estimated Production Costs and Income</t>
  </si>
  <si>
    <t>Feed Cost</t>
  </si>
  <si>
    <t>CowPlan - Cow Replacement Value Cost Calculator</t>
  </si>
  <si>
    <r>
      <t xml:space="preserve">*** Enter changes to values to items in </t>
    </r>
    <r>
      <rPr>
        <b/>
        <sz val="12"/>
        <color indexed="12"/>
        <rFont val="Arial"/>
        <family val="2"/>
      </rPr>
      <t>BLUE</t>
    </r>
    <r>
      <rPr>
        <b/>
        <sz val="12"/>
        <color indexed="48"/>
        <rFont val="Arial"/>
        <family val="2"/>
      </rPr>
      <t xml:space="preserve"> </t>
    </r>
    <r>
      <rPr>
        <b/>
        <sz val="12"/>
        <rFont val="Arial"/>
        <family val="2"/>
      </rPr>
      <t>only ***</t>
    </r>
  </si>
  <si>
    <t>Farm Management Specialist</t>
  </si>
  <si>
    <t xml:space="preserve">                                         </t>
  </si>
  <si>
    <r>
      <rPr>
        <b/>
        <sz val="10"/>
        <rFont val="Arial"/>
        <family val="2"/>
      </rPr>
      <t xml:space="preserve">Note: </t>
    </r>
    <r>
      <rPr>
        <sz val="10"/>
        <rFont val="Arial"/>
        <family val="2"/>
      </rPr>
      <t>This budget is only a guide and is not intended as an in-depth study of the cost of production of this industry. Interpretation and use of this information is the responsibility of the user</t>
    </r>
  </si>
  <si>
    <t>September, 2019</t>
  </si>
  <si>
    <t xml:space="preserve">A/Manager-Farm Management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</si>
</sst>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0.00\ "/>
    <numFmt numFmtId="165" formatCode="#,##0_ ;\-#,##0\ "/>
    <numFmt numFmtId="166" formatCode="0.0%"/>
    <numFmt numFmtId="167" formatCode="#,##0.0_ ;\-#,##0.0\ "/>
    <numFmt numFmtId="168" formatCode="&quot;$&quot;#,##0.00_);\(&quot;$&quot;#,##0.00\)"/>
    <numFmt numFmtId="169" formatCode="0.0%;\(0.0%\)"/>
    <numFmt numFmtId="170" formatCode="&quot;$&quot;#,##0.00"/>
    <numFmt numFmtId="171" formatCode="&quot;$&quot;#,##0.00_);[Red]\(&quot;$&quot;#,##0.00\)"/>
    <numFmt numFmtId="172" formatCode="&quot;$&quot;#,##0_);[Red]\(&quot;$&quot;#,##0\)"/>
    <numFmt numFmtId="173" formatCode="#,##0.0_);[Red]\(#,##0.0\)"/>
    <numFmt numFmtId="174" formatCode="_-&quot;£&quot;* #,##0_-;\-&quot;£&quot;* #,##0_-;_-&quot;£&quot;* &quot;-&quot;_-;_-@_-"/>
    <numFmt numFmtId="175" formatCode="_-&quot;£&quot;* #,##0.00_-;\-&quot;£&quot;* #,##0.00_-;_-&quot;£&quot;* &quot;-&quot;??_-;_-@_-"/>
    <numFmt numFmtId="176" formatCode="&quot;$&quot;#,##0"/>
    <numFmt numFmtId="177" formatCode="&quot;$&quot;#,##0_);\(&quot;$&quot;#,##0\)"/>
    <numFmt numFmtId="178" formatCode="#,##0.0000"/>
    <numFmt numFmtId="179" formatCode="&quot;$&quot;#,##0.0000"/>
  </numFmts>
  <fonts count="72">
    <font>
      <sz val="12"/>
      <name val="Arial"/>
      <family val="0"/>
    </font>
    <font>
      <sz val="11"/>
      <color indexed="8"/>
      <name val="Calibri"/>
      <family val="2"/>
    </font>
    <font>
      <sz val="10"/>
      <name val="Arial"/>
      <family val="2"/>
    </font>
    <font>
      <b/>
      <sz val="14"/>
      <color indexed="9"/>
      <name val="Arial"/>
      <family val="2"/>
    </font>
    <font>
      <b/>
      <sz val="14"/>
      <name val="Arial"/>
      <family val="2"/>
    </font>
    <font>
      <b/>
      <sz val="12"/>
      <name val="Arial"/>
      <family val="2"/>
    </font>
    <font>
      <sz val="14"/>
      <name val="Arial"/>
      <family val="2"/>
    </font>
    <font>
      <b/>
      <u val="single"/>
      <sz val="12"/>
      <name val="Arial"/>
      <family val="2"/>
    </font>
    <font>
      <vertAlign val="superscript"/>
      <sz val="12"/>
      <name val="Arial"/>
      <family val="2"/>
    </font>
    <font>
      <b/>
      <sz val="12"/>
      <color indexed="12"/>
      <name val="Arial"/>
      <family val="2"/>
    </font>
    <font>
      <sz val="10"/>
      <color indexed="12"/>
      <name val="Arial"/>
      <family val="2"/>
    </font>
    <font>
      <sz val="8"/>
      <name val="Arial"/>
      <family val="2"/>
    </font>
    <font>
      <b/>
      <sz val="10"/>
      <name val="Arial"/>
      <family val="2"/>
    </font>
    <font>
      <b/>
      <sz val="12"/>
      <color indexed="48"/>
      <name val="Arial"/>
      <family val="2"/>
    </font>
    <font>
      <b/>
      <vertAlign val="superscript"/>
      <sz val="14"/>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6"/>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sz val="11"/>
      <color indexed="8"/>
      <name val="Arial"/>
      <family val="2"/>
    </font>
    <font>
      <sz val="22"/>
      <color indexed="8"/>
      <name val="Arial"/>
      <family val="2"/>
    </font>
    <font>
      <sz val="8"/>
      <color indexed="8"/>
      <name val="Arial"/>
      <family val="2"/>
    </font>
    <font>
      <b/>
      <sz val="12"/>
      <color indexed="8"/>
      <name val="Arial"/>
      <family val="2"/>
    </font>
    <font>
      <b/>
      <sz val="10"/>
      <color indexed="8"/>
      <name val="Arial"/>
      <family val="2"/>
    </font>
    <font>
      <b/>
      <u val="single"/>
      <sz val="11"/>
      <color indexed="12"/>
      <name val="Arial"/>
      <family val="2"/>
    </font>
    <font>
      <b/>
      <sz val="16"/>
      <color indexed="8"/>
      <name val="Arial"/>
      <family val="2"/>
    </font>
    <font>
      <sz val="11"/>
      <name val="Arial"/>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6"/>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b/>
      <sz val="12"/>
      <color rgb="FF0000FF"/>
      <name val="Arial"/>
      <family val="2"/>
    </font>
    <font>
      <sz val="11"/>
      <color theme="1"/>
      <name val="Arial"/>
      <family val="2"/>
    </font>
    <font>
      <sz val="22"/>
      <color theme="1"/>
      <name val="Arial"/>
      <family val="2"/>
    </font>
    <font>
      <sz val="8"/>
      <color theme="1"/>
      <name val="Arial"/>
      <family val="2"/>
    </font>
    <font>
      <b/>
      <sz val="12"/>
      <color theme="1"/>
      <name val="Arial"/>
      <family val="2"/>
    </font>
    <font>
      <b/>
      <sz val="10"/>
      <color theme="1"/>
      <name val="Arial"/>
      <family val="2"/>
    </font>
    <font>
      <b/>
      <u val="single"/>
      <sz val="11"/>
      <color theme="10"/>
      <name val="Arial"/>
      <family val="2"/>
    </font>
    <font>
      <b/>
      <sz val="16"/>
      <color theme="1"/>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them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s>
  <cellStyleXfs count="88">
    <xf numFmtId="0" fontId="0" fillId="0" borderId="0">
      <alignment vertical="top"/>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43" fillId="0" borderId="0" applyFont="0" applyFill="0" applyBorder="0" applyAlignment="0" applyProtection="0"/>
    <xf numFmtId="41" fontId="43" fillId="0" borderId="0" applyFont="0" applyFill="0" applyBorder="0" applyAlignment="0" applyProtection="0"/>
    <xf numFmtId="172" fontId="0" fillId="0" borderId="0">
      <alignment/>
      <protection/>
    </xf>
    <xf numFmtId="172" fontId="9" fillId="0" borderId="0">
      <alignment/>
      <protection locked="0"/>
    </xf>
    <xf numFmtId="171" fontId="0" fillId="0" borderId="0">
      <alignment/>
      <protection/>
    </xf>
    <xf numFmtId="171" fontId="9" fillId="0" borderId="0">
      <alignment/>
      <protection locked="0"/>
    </xf>
    <xf numFmtId="38" fontId="0" fillId="0" borderId="0">
      <alignment/>
      <protection/>
    </xf>
    <xf numFmtId="38" fontId="9" fillId="0" borderId="0">
      <alignment/>
      <protection locked="0"/>
    </xf>
    <xf numFmtId="173" fontId="0" fillId="0" borderId="0">
      <alignment/>
      <protection/>
    </xf>
    <xf numFmtId="173" fontId="9" fillId="0" borderId="0">
      <alignment/>
      <protection locked="0"/>
    </xf>
    <xf numFmtId="40" fontId="0" fillId="0" borderId="0">
      <alignment/>
      <protection/>
    </xf>
    <xf numFmtId="40" fontId="9" fillId="0" borderId="0">
      <alignment/>
      <protection locked="0"/>
    </xf>
    <xf numFmtId="44" fontId="43" fillId="0" borderId="0" applyFont="0" applyFill="0" applyBorder="0" applyAlignment="0" applyProtection="0"/>
    <xf numFmtId="42" fontId="43"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2" fillId="0" borderId="0">
      <alignment vertical="top"/>
      <protection/>
    </xf>
    <xf numFmtId="170" fontId="0" fillId="0" borderId="0">
      <alignment vertical="top"/>
      <protection/>
    </xf>
    <xf numFmtId="170" fontId="0" fillId="0" borderId="0">
      <alignment vertical="top"/>
      <protection/>
    </xf>
    <xf numFmtId="0" fontId="43" fillId="32" borderId="7" applyNumberFormat="0" applyFont="0" applyAlignment="0" applyProtection="0"/>
    <xf numFmtId="38" fontId="2" fillId="33" borderId="8">
      <alignment/>
      <protection/>
    </xf>
    <xf numFmtId="38" fontId="10" fillId="0" borderId="8">
      <alignment/>
      <protection locked="0"/>
    </xf>
    <xf numFmtId="173" fontId="2" fillId="34" borderId="8">
      <alignment/>
      <protection/>
    </xf>
    <xf numFmtId="173" fontId="10" fillId="0" borderId="8">
      <alignment/>
      <protection locked="0"/>
    </xf>
    <xf numFmtId="40" fontId="2" fillId="34" borderId="8">
      <alignment/>
      <protection/>
    </xf>
    <xf numFmtId="40" fontId="10" fillId="0" borderId="8">
      <alignment/>
      <protection locked="0"/>
    </xf>
    <xf numFmtId="0" fontId="58" fillId="27" borderId="9" applyNumberFormat="0" applyAlignment="0" applyProtection="0"/>
    <xf numFmtId="9" fontId="43" fillId="0" borderId="0" applyFont="0" applyFill="0" applyBorder="0" applyAlignment="0" applyProtection="0"/>
    <xf numFmtId="10" fontId="0" fillId="0" borderId="0">
      <alignment/>
      <protection/>
    </xf>
    <xf numFmtId="10" fontId="10" fillId="35" borderId="8">
      <alignment/>
      <protection locked="0"/>
    </xf>
    <xf numFmtId="0" fontId="2" fillId="36" borderId="0">
      <alignment/>
      <protection/>
    </xf>
    <xf numFmtId="0" fontId="59" fillId="0" borderId="0" applyNumberFormat="0" applyFill="0" applyBorder="0" applyAlignment="0" applyProtection="0"/>
    <xf numFmtId="0" fontId="60" fillId="0" borderId="10" applyNumberFormat="0" applyFill="0" applyAlignment="0" applyProtection="0"/>
    <xf numFmtId="174" fontId="2" fillId="0" borderId="0" applyFont="0" applyFill="0" applyBorder="0" applyAlignment="0" applyProtection="0"/>
    <xf numFmtId="175" fontId="2" fillId="0" borderId="0" applyFont="0" applyFill="0" applyBorder="0" applyAlignment="0" applyProtection="0"/>
    <xf numFmtId="0" fontId="61" fillId="0" borderId="0" applyNumberFormat="0" applyFill="0" applyBorder="0" applyAlignment="0" applyProtection="0"/>
  </cellStyleXfs>
  <cellXfs count="69">
    <xf numFmtId="0" fontId="0" fillId="0" borderId="0" xfId="0" applyAlignment="1">
      <alignment vertical="top"/>
    </xf>
    <xf numFmtId="0" fontId="62" fillId="37" borderId="0" xfId="68" applyFont="1" applyFill="1" applyAlignment="1" applyProtection="1">
      <alignment/>
      <protection/>
    </xf>
    <xf numFmtId="0" fontId="4" fillId="0" borderId="0" xfId="68" applyFont="1" applyFill="1" applyAlignment="1" applyProtection="1">
      <alignment/>
      <protection/>
    </xf>
    <xf numFmtId="0" fontId="5" fillId="0" borderId="0" xfId="68" applyFont="1" applyFill="1" applyAlignment="1" applyProtection="1">
      <alignment/>
      <protection/>
    </xf>
    <xf numFmtId="0" fontId="6" fillId="0" borderId="0" xfId="68" applyFont="1" applyAlignment="1">
      <alignment/>
      <protection/>
    </xf>
    <xf numFmtId="0" fontId="0" fillId="0" borderId="0" xfId="68" applyFont="1" applyAlignment="1">
      <alignment/>
      <protection/>
    </xf>
    <xf numFmtId="0" fontId="5" fillId="0" borderId="0" xfId="68" applyFont="1" applyAlignment="1" applyProtection="1">
      <alignment/>
      <protection/>
    </xf>
    <xf numFmtId="3" fontId="6" fillId="0" borderId="0" xfId="0" applyNumberFormat="1" applyFont="1" applyAlignment="1">
      <alignment/>
    </xf>
    <xf numFmtId="3" fontId="0" fillId="0" borderId="0" xfId="0" applyNumberFormat="1" applyFont="1" applyBorder="1" applyAlignment="1" applyProtection="1">
      <alignment/>
      <protection/>
    </xf>
    <xf numFmtId="0" fontId="5" fillId="0" borderId="0" xfId="68" applyFont="1" applyAlignment="1">
      <alignment/>
      <protection/>
    </xf>
    <xf numFmtId="0" fontId="0" fillId="0" borderId="0" xfId="68" applyFont="1" applyAlignment="1" applyProtection="1">
      <alignment/>
      <protection/>
    </xf>
    <xf numFmtId="3" fontId="0" fillId="0" borderId="0" xfId="0" applyNumberFormat="1" applyFont="1" applyAlignment="1" applyProtection="1">
      <alignment/>
      <protection/>
    </xf>
    <xf numFmtId="0" fontId="7" fillId="0" borderId="0" xfId="68" applyFont="1" applyAlignment="1">
      <alignment horizontal="right"/>
      <protection/>
    </xf>
    <xf numFmtId="170" fontId="0" fillId="0" borderId="0" xfId="68" applyNumberFormat="1" applyFont="1" applyAlignment="1">
      <alignment/>
      <protection/>
    </xf>
    <xf numFmtId="170" fontId="9" fillId="0" borderId="0" xfId="47" applyNumberFormat="1">
      <alignment/>
      <protection locked="0"/>
    </xf>
    <xf numFmtId="170" fontId="5" fillId="0" borderId="0" xfId="68" applyNumberFormat="1" applyFont="1" applyAlignment="1">
      <alignment/>
      <protection/>
    </xf>
    <xf numFmtId="3" fontId="0" fillId="0" borderId="0" xfId="0" applyNumberFormat="1" applyFont="1" applyFill="1" applyAlignment="1" applyProtection="1">
      <alignment/>
      <protection/>
    </xf>
    <xf numFmtId="170" fontId="0" fillId="0" borderId="0" xfId="68" applyNumberFormat="1" applyFont="1" applyFill="1" applyAlignment="1">
      <alignment/>
      <protection/>
    </xf>
    <xf numFmtId="170" fontId="5" fillId="0" borderId="0" xfId="68" applyNumberFormat="1" applyFont="1" applyFill="1" applyAlignment="1">
      <alignment/>
      <protection/>
    </xf>
    <xf numFmtId="0" fontId="2" fillId="0" borderId="0" xfId="68" applyFont="1" applyAlignment="1" applyProtection="1">
      <alignment/>
      <protection/>
    </xf>
    <xf numFmtId="0" fontId="2" fillId="0" borderId="0" xfId="68" applyFont="1" applyAlignment="1">
      <alignment/>
      <protection/>
    </xf>
    <xf numFmtId="170" fontId="63" fillId="0" borderId="0" xfId="68" applyNumberFormat="1" applyFont="1" applyAlignment="1" applyProtection="1">
      <alignment/>
      <protection locked="0"/>
    </xf>
    <xf numFmtId="3" fontId="0" fillId="0" borderId="0" xfId="0" applyNumberFormat="1" applyAlignment="1" applyProtection="1">
      <alignment/>
      <protection/>
    </xf>
    <xf numFmtId="40" fontId="9" fillId="0" borderId="0" xfId="53">
      <alignment/>
      <protection locked="0"/>
    </xf>
    <xf numFmtId="3" fontId="0" fillId="0" borderId="0" xfId="0" applyNumberFormat="1" applyAlignment="1">
      <alignment/>
    </xf>
    <xf numFmtId="166" fontId="9" fillId="0" borderId="0" xfId="0" applyNumberFormat="1" applyFont="1" applyAlignment="1" applyProtection="1">
      <alignment/>
      <protection/>
    </xf>
    <xf numFmtId="38" fontId="9" fillId="0" borderId="0" xfId="49">
      <alignment/>
      <protection locked="0"/>
    </xf>
    <xf numFmtId="3" fontId="9" fillId="0" borderId="0" xfId="0" applyNumberFormat="1" applyFont="1" applyAlignment="1" applyProtection="1">
      <alignment/>
      <protection/>
    </xf>
    <xf numFmtId="170" fontId="5" fillId="0" borderId="0" xfId="47" applyNumberFormat="1" applyFont="1" applyProtection="1">
      <alignment/>
      <protection/>
    </xf>
    <xf numFmtId="38" fontId="5" fillId="0" borderId="0" xfId="49" applyFont="1" applyFill="1" applyProtection="1">
      <alignment/>
      <protection/>
    </xf>
    <xf numFmtId="170" fontId="0" fillId="0" borderId="0" xfId="47" applyNumberFormat="1" applyFont="1" applyProtection="1">
      <alignment/>
      <protection/>
    </xf>
    <xf numFmtId="3" fontId="5" fillId="0" borderId="0" xfId="0" applyNumberFormat="1" applyFont="1" applyAlignment="1">
      <alignment/>
    </xf>
    <xf numFmtId="170" fontId="5" fillId="0" borderId="0" xfId="0" applyNumberFormat="1" applyFont="1" applyBorder="1" applyAlignment="1" applyProtection="1">
      <alignment/>
      <protection/>
    </xf>
    <xf numFmtId="176" fontId="5" fillId="0" borderId="0" xfId="48" applyNumberFormat="1" applyFont="1">
      <alignment/>
      <protection/>
    </xf>
    <xf numFmtId="168" fontId="0" fillId="0" borderId="0" xfId="0" applyNumberFormat="1" applyFont="1" applyBorder="1" applyAlignment="1" applyProtection="1">
      <alignment/>
      <protection/>
    </xf>
    <xf numFmtId="178" fontId="6" fillId="0" borderId="0" xfId="0" applyNumberFormat="1" applyFont="1" applyAlignment="1">
      <alignment/>
    </xf>
    <xf numFmtId="0" fontId="64" fillId="0" borderId="0" xfId="0" applyFont="1" applyFill="1" applyAlignment="1" applyProtection="1">
      <alignment/>
      <protection/>
    </xf>
    <xf numFmtId="0" fontId="64" fillId="0" borderId="0" xfId="0" applyFont="1" applyFill="1" applyAlignment="1" applyProtection="1">
      <alignment horizontal="center"/>
      <protection/>
    </xf>
    <xf numFmtId="0" fontId="0" fillId="0" borderId="0" xfId="0" applyFill="1" applyAlignment="1" applyProtection="1">
      <alignment/>
      <protection/>
    </xf>
    <xf numFmtId="0" fontId="65" fillId="0" borderId="0" xfId="0" applyFont="1" applyFill="1" applyAlignment="1" applyProtection="1">
      <alignment/>
      <protection/>
    </xf>
    <xf numFmtId="0" fontId="66" fillId="0" borderId="0" xfId="0" applyFont="1" applyFill="1" applyAlignment="1" applyProtection="1">
      <alignment horizontal="right"/>
      <protection/>
    </xf>
    <xf numFmtId="14" fontId="11" fillId="0" borderId="0" xfId="0" applyNumberFormat="1" applyFont="1" applyAlignment="1" applyProtection="1">
      <alignment horizontal="right"/>
      <protection/>
    </xf>
    <xf numFmtId="0" fontId="0" fillId="0" borderId="0" xfId="0" applyAlignment="1">
      <alignment/>
    </xf>
    <xf numFmtId="0" fontId="67" fillId="0" borderId="0" xfId="0" applyFont="1" applyBorder="1" applyAlignment="1" applyProtection="1">
      <alignment/>
      <protection/>
    </xf>
    <xf numFmtId="0" fontId="68" fillId="0" borderId="11" xfId="0" applyFont="1" applyBorder="1" applyAlignment="1" applyProtection="1">
      <alignment horizontal="left"/>
      <protection/>
    </xf>
    <xf numFmtId="0" fontId="68" fillId="0" borderId="11" xfId="0" applyFont="1" applyBorder="1" applyAlignment="1" applyProtection="1">
      <alignment horizontal="left" wrapText="1"/>
      <protection/>
    </xf>
    <xf numFmtId="0" fontId="0" fillId="0" borderId="11" xfId="0" applyBorder="1" applyAlignment="1" applyProtection="1">
      <alignment/>
      <protection/>
    </xf>
    <xf numFmtId="170" fontId="69" fillId="0" borderId="0" xfId="63" applyNumberFormat="1" applyFont="1" applyAlignment="1" applyProtection="1">
      <alignment vertical="top"/>
      <protection/>
    </xf>
    <xf numFmtId="0" fontId="0" fillId="0" borderId="11" xfId="0" applyBorder="1" applyAlignment="1">
      <alignment/>
    </xf>
    <xf numFmtId="0" fontId="69" fillId="0" borderId="0" xfId="63" applyFont="1" applyAlignment="1" applyProtection="1">
      <alignment vertical="top"/>
      <protection/>
    </xf>
    <xf numFmtId="0" fontId="5" fillId="0" borderId="0" xfId="0" applyFont="1" applyAlignment="1">
      <alignment/>
    </xf>
    <xf numFmtId="0" fontId="70" fillId="0" borderId="0" xfId="0" applyFont="1" applyFill="1" applyAlignment="1" applyProtection="1">
      <alignment/>
      <protection/>
    </xf>
    <xf numFmtId="170" fontId="63" fillId="0" borderId="0" xfId="68" applyNumberFormat="1" applyFont="1" applyFill="1" applyAlignment="1" applyProtection="1">
      <alignment/>
      <protection locked="0"/>
    </xf>
    <xf numFmtId="0" fontId="0" fillId="0" borderId="0" xfId="0" applyFont="1" applyAlignment="1">
      <alignment/>
    </xf>
    <xf numFmtId="0" fontId="0" fillId="0" borderId="11" xfId="0" applyFont="1" applyBorder="1" applyAlignment="1">
      <alignment/>
    </xf>
    <xf numFmtId="0" fontId="67" fillId="0" borderId="11" xfId="0" applyFont="1" applyBorder="1" applyAlignment="1" applyProtection="1">
      <alignment horizontal="right"/>
      <protection/>
    </xf>
    <xf numFmtId="0" fontId="67" fillId="0" borderId="12" xfId="0" applyFont="1" applyBorder="1" applyAlignment="1" applyProtection="1">
      <alignment horizontal="left" vertical="center"/>
      <protection/>
    </xf>
    <xf numFmtId="170" fontId="0" fillId="0" borderId="0" xfId="69" applyFont="1" applyBorder="1" applyProtection="1">
      <alignment vertical="top"/>
      <protection/>
    </xf>
    <xf numFmtId="0" fontId="0" fillId="0" borderId="0" xfId="0" applyFont="1" applyBorder="1" applyAlignment="1" applyProtection="1">
      <alignment/>
      <protection/>
    </xf>
    <xf numFmtId="0" fontId="67" fillId="0" borderId="11" xfId="0" applyFont="1" applyBorder="1" applyAlignment="1" applyProtection="1">
      <alignment/>
      <protection/>
    </xf>
    <xf numFmtId="0" fontId="0" fillId="0" borderId="11" xfId="68" applyFont="1" applyBorder="1" applyAlignment="1">
      <alignment/>
      <protection/>
    </xf>
    <xf numFmtId="0" fontId="5" fillId="0" borderId="11" xfId="68" applyFont="1" applyBorder="1" applyAlignment="1">
      <alignment/>
      <protection/>
    </xf>
    <xf numFmtId="170" fontId="9" fillId="0" borderId="0" xfId="47" applyNumberFormat="1" applyFill="1" applyProtection="1">
      <alignment/>
      <protection locked="0"/>
    </xf>
    <xf numFmtId="0" fontId="71" fillId="37" borderId="0" xfId="68" applyFont="1" applyFill="1" applyAlignment="1" applyProtection="1">
      <alignment horizontal="center" vertical="center"/>
      <protection/>
    </xf>
    <xf numFmtId="0" fontId="2" fillId="0" borderId="0" xfId="68" applyFont="1" applyAlignment="1" applyProtection="1">
      <alignment horizontal="center" vertical="top"/>
      <protection/>
    </xf>
    <xf numFmtId="0" fontId="2" fillId="0" borderId="0" xfId="68" applyFont="1" applyAlignment="1">
      <alignment horizontal="left" vertical="center" wrapText="1"/>
      <protection/>
    </xf>
    <xf numFmtId="170" fontId="2" fillId="0" borderId="0" xfId="69" applyFont="1" applyAlignment="1" applyProtection="1">
      <alignment horizontal="left" vertical="top" wrapText="1"/>
      <protection/>
    </xf>
    <xf numFmtId="170" fontId="41" fillId="0" borderId="0" xfId="70" applyFont="1" applyFill="1">
      <alignment vertical="top"/>
      <protection/>
    </xf>
    <xf numFmtId="0" fontId="68" fillId="0" borderId="0" xfId="0" applyFont="1" applyBorder="1" applyAlignment="1" applyProtection="1">
      <alignment horizontal="left"/>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 ($1,234) L Black" xfId="44"/>
    <cellStyle name="Curr ($1,234) U Blue" xfId="45"/>
    <cellStyle name="Curr ($1,234.00) L Black" xfId="46"/>
    <cellStyle name="Curr ($1,234.00) U Blue" xfId="47"/>
    <cellStyle name="Curr (1,234) L Black" xfId="48"/>
    <cellStyle name="Curr (1,234) U Blue" xfId="49"/>
    <cellStyle name="Curr (1,234.0) L Black" xfId="50"/>
    <cellStyle name="Curr (1,234.0) U Blue" xfId="51"/>
    <cellStyle name="Curr (1,234.00) L Black" xfId="52"/>
    <cellStyle name="Curr (1,234.00) U Blue"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2" xfId="67"/>
    <cellStyle name="Normal 3" xfId="68"/>
    <cellStyle name="Normal_Farrow-Wean 500" xfId="69"/>
    <cellStyle name="Normal_Farrow-Wean 500 2" xfId="70"/>
    <cellStyle name="Note" xfId="71"/>
    <cellStyle name="Num (1,234) L Black" xfId="72"/>
    <cellStyle name="Num (1,234) U Blue" xfId="73"/>
    <cellStyle name="Num (1,234.0) L Black" xfId="74"/>
    <cellStyle name="Num (1,234.0) U Blue" xfId="75"/>
    <cellStyle name="Num (1,234.10) L Black" xfId="76"/>
    <cellStyle name="Num (1,234.10) U Blue" xfId="77"/>
    <cellStyle name="Output" xfId="78"/>
    <cellStyle name="Percent" xfId="79"/>
    <cellStyle name="Percent 00.00% L Black" xfId="80"/>
    <cellStyle name="Percent 00.00% U Blue" xfId="81"/>
    <cellStyle name="Standard_Anpassen der Amortisation" xfId="82"/>
    <cellStyle name="Title" xfId="83"/>
    <cellStyle name="Total" xfId="84"/>
    <cellStyle name="Währung [0]_Compiling Utility Macros" xfId="85"/>
    <cellStyle name="Währung_Compiling Utility Macros"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gov.mb.ca/agriculture/farm-management/farm-business-management-contacts.html" TargetMode="External" /><Relationship Id="rId3" Type="http://schemas.openxmlformats.org/officeDocument/2006/relationships/hyperlink" Target="http://www.gov.mb.ca/agriculture/contact/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114300</xdr:rowOff>
    </xdr:from>
    <xdr:to>
      <xdr:col>10</xdr:col>
      <xdr:colOff>457200</xdr:colOff>
      <xdr:row>1</xdr:row>
      <xdr:rowOff>123825</xdr:rowOff>
    </xdr:to>
    <xdr:pic>
      <xdr:nvPicPr>
        <xdr:cNvPr id="1" name="Picture 6" descr="GovMB_Logo_black-1374 10percent.jpg"/>
        <xdr:cNvPicPr preferRelativeResize="1">
          <a:picLocks noChangeAspect="1"/>
        </xdr:cNvPicPr>
      </xdr:nvPicPr>
      <xdr:blipFill>
        <a:blip r:embed="rId1"/>
        <a:stretch>
          <a:fillRect/>
        </a:stretch>
      </xdr:blipFill>
      <xdr:spPr>
        <a:xfrm>
          <a:off x="7372350" y="114300"/>
          <a:ext cx="2076450" cy="352425"/>
        </a:xfrm>
        <a:prstGeom prst="rect">
          <a:avLst/>
        </a:prstGeom>
        <a:noFill/>
        <a:ln w="9525" cmpd="sng">
          <a:noFill/>
        </a:ln>
      </xdr:spPr>
    </xdr:pic>
    <xdr:clientData/>
  </xdr:twoCellAnchor>
  <xdr:twoCellAnchor>
    <xdr:from>
      <xdr:col>1</xdr:col>
      <xdr:colOff>2009775</xdr:colOff>
      <xdr:row>60</xdr:row>
      <xdr:rowOff>9525</xdr:rowOff>
    </xdr:from>
    <xdr:to>
      <xdr:col>6</xdr:col>
      <xdr:colOff>400050</xdr:colOff>
      <xdr:row>61</xdr:row>
      <xdr:rowOff>209550</xdr:rowOff>
    </xdr:to>
    <xdr:sp>
      <xdr:nvSpPr>
        <xdr:cNvPr id="2" name="TextBox 9">
          <a:hlinkClick r:id="rId2"/>
        </xdr:cNvPr>
        <xdr:cNvSpPr txBox="1">
          <a:spLocks noChangeArrowheads="1"/>
        </xdr:cNvSpPr>
      </xdr:nvSpPr>
      <xdr:spPr>
        <a:xfrm>
          <a:off x="2152650" y="11791950"/>
          <a:ext cx="4038600" cy="428625"/>
        </a:xfrm>
        <a:prstGeom prst="rect">
          <a:avLst/>
        </a:prstGeom>
        <a:noFill/>
        <a:ln w="9525" cmpd="sng">
          <a:noFill/>
        </a:ln>
      </xdr:spPr>
      <xdr:txBody>
        <a:bodyPr vertOverflow="clip" wrap="square"/>
        <a:p>
          <a:pPr algn="l">
            <a:defRPr/>
          </a:pPr>
          <a:r>
            <a:rPr lang="en-US" cap="none" sz="1100" b="1" i="0" u="sng" baseline="0">
              <a:solidFill>
                <a:srgbClr val="0000FF"/>
              </a:solidFill>
              <a:latin typeface="Arial"/>
              <a:ea typeface="Arial"/>
              <a:cs typeface="Arial"/>
            </a:rPr>
            <a:t>Manitoba Agriculture Farm Management</a:t>
          </a:r>
        </a:p>
      </xdr:txBody>
    </xdr:sp>
    <xdr:clientData/>
  </xdr:twoCellAnchor>
  <xdr:twoCellAnchor>
    <xdr:from>
      <xdr:col>2</xdr:col>
      <xdr:colOff>523875</xdr:colOff>
      <xdr:row>60</xdr:row>
      <xdr:rowOff>190500</xdr:rowOff>
    </xdr:from>
    <xdr:to>
      <xdr:col>6</xdr:col>
      <xdr:colOff>590550</xdr:colOff>
      <xdr:row>62</xdr:row>
      <xdr:rowOff>38100</xdr:rowOff>
    </xdr:to>
    <xdr:sp>
      <xdr:nvSpPr>
        <xdr:cNvPr id="3" name="TextBox 10">
          <a:hlinkClick r:id="rId3"/>
        </xdr:cNvPr>
        <xdr:cNvSpPr txBox="1">
          <a:spLocks noChangeArrowheads="1"/>
        </xdr:cNvSpPr>
      </xdr:nvSpPr>
      <xdr:spPr>
        <a:xfrm>
          <a:off x="3114675" y="11972925"/>
          <a:ext cx="3267075" cy="304800"/>
        </a:xfrm>
        <a:prstGeom prst="rect">
          <a:avLst/>
        </a:prstGeom>
        <a:noFill/>
        <a:ln w="9525" cmpd="sng">
          <a:noFill/>
        </a:ln>
      </xdr:spPr>
      <xdr:txBody>
        <a:bodyPr vertOverflow="clip" wrap="square" anchor="ctr"/>
        <a:p>
          <a:pPr algn="l">
            <a:defRPr/>
          </a:pPr>
          <a:r>
            <a:rPr lang="en-US" cap="none" sz="1100" b="1" i="0" u="sng" baseline="0">
              <a:solidFill>
                <a:srgbClr val="0000FF"/>
              </a:solidFill>
              <a:latin typeface="Arial"/>
              <a:ea typeface="Arial"/>
              <a:cs typeface="Arial"/>
            </a:rPr>
            <a:t>Manitoba Agriculture office </a:t>
          </a:r>
          <a:r>
            <a:rPr lang="en-US" cap="none" sz="1100" b="1" i="0" u="none" baseline="0">
              <a:solidFill>
                <a:srgbClr val="000000"/>
              </a:solidFill>
              <a:latin typeface="Arial"/>
              <a:ea typeface="Arial"/>
              <a:cs typeface="Arial"/>
            </a:rPr>
            <a:t>or: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gov.mb.ca/agriculture/business-and-economics/financial-management/pubs/cop_beef_cowcalf%20DRAFTsept11%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ummary"/>
      <sheetName val="Risk Analysis"/>
      <sheetName val="Input"/>
      <sheetName val="Winter Feed Rations"/>
      <sheetName val="Extended Grazing"/>
      <sheetName val="Details"/>
      <sheetName val="Hous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y.arnott@gov.mb.ca" TargetMode="External" /><Relationship Id="rId2" Type="http://schemas.openxmlformats.org/officeDocument/2006/relationships/hyperlink" Target="mailto:Benjamin.Hamm@gov.mb.ca" TargetMode="External" /><Relationship Id="rId3" Type="http://schemas.openxmlformats.org/officeDocument/2006/relationships/hyperlink" Target="mailto:greg.fedak@gov.mb.ca"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65"/>
  <sheetViews>
    <sheetView showGridLines="0" tabSelected="1" zoomScale="80" zoomScaleNormal="80" workbookViewId="0" topLeftCell="A1">
      <selection activeCell="H12" sqref="H12"/>
    </sheetView>
  </sheetViews>
  <sheetFormatPr defaultColWidth="7.99609375" defaultRowHeight="15"/>
  <cols>
    <col min="1" max="1" width="1.66796875" style="5" customWidth="1"/>
    <col min="2" max="2" width="28.5546875" style="5" customWidth="1"/>
    <col min="3" max="10" width="9.3359375" style="5" customWidth="1"/>
    <col min="11" max="11" width="8.3359375" style="5" customWidth="1"/>
    <col min="12" max="12" width="8.99609375" style="5" customWidth="1"/>
    <col min="13" max="22" width="7.99609375" style="5" customWidth="1"/>
    <col min="23" max="16384" width="7.99609375" style="4" customWidth="1"/>
  </cols>
  <sheetData>
    <row r="1" spans="1:6" s="38" customFormat="1" ht="27" customHeight="1">
      <c r="A1" s="36"/>
      <c r="B1" s="36"/>
      <c r="C1" s="37"/>
      <c r="D1" s="37"/>
      <c r="E1" s="37"/>
      <c r="F1" s="37"/>
    </row>
    <row r="2" spans="1:6" s="38" customFormat="1" ht="27">
      <c r="A2" s="39" t="s">
        <v>43</v>
      </c>
      <c r="B2" s="36"/>
      <c r="C2" s="37"/>
      <c r="D2" s="37"/>
      <c r="E2" s="37"/>
      <c r="F2" s="37"/>
    </row>
    <row r="3" spans="1:11" s="38" customFormat="1" ht="20.25">
      <c r="A3" s="51" t="s">
        <v>55</v>
      </c>
      <c r="B3" s="36"/>
      <c r="C3" s="37"/>
      <c r="D3" s="37"/>
      <c r="J3" s="40" t="s">
        <v>42</v>
      </c>
      <c r="K3" s="41">
        <f ca="1">TODAY()</f>
        <v>43734</v>
      </c>
    </row>
    <row r="4" ht="7.5" customHeight="1">
      <c r="A4" s="10"/>
    </row>
    <row r="5" spans="1:9" s="24" customFormat="1" ht="15.75">
      <c r="A5" s="11" t="s">
        <v>26</v>
      </c>
      <c r="B5" s="22"/>
      <c r="C5" s="26">
        <v>1350</v>
      </c>
      <c r="D5" s="24" t="s">
        <v>27</v>
      </c>
      <c r="E5" s="50" t="s">
        <v>56</v>
      </c>
      <c r="G5" s="22"/>
      <c r="H5" s="27"/>
      <c r="I5" s="22"/>
    </row>
    <row r="6" spans="1:6" ht="18" customHeight="1">
      <c r="A6" s="11" t="s">
        <v>50</v>
      </c>
      <c r="B6" s="22"/>
      <c r="C6" s="14">
        <v>75</v>
      </c>
      <c r="D6" s="24" t="s">
        <v>33</v>
      </c>
      <c r="E6" s="4"/>
      <c r="F6" s="4"/>
    </row>
    <row r="7" spans="1:6" ht="18" customHeight="1">
      <c r="A7" s="11" t="s">
        <v>36</v>
      </c>
      <c r="B7" s="22"/>
      <c r="C7" s="28">
        <f>SUM(C5/100)*C6</f>
        <v>1012.5</v>
      </c>
      <c r="D7" s="22"/>
      <c r="E7" s="4"/>
      <c r="F7" s="4"/>
    </row>
    <row r="8" spans="1:9" s="24" customFormat="1" ht="7.5" customHeight="1">
      <c r="A8" s="11"/>
      <c r="B8" s="22"/>
      <c r="C8" s="26"/>
      <c r="G8" s="22"/>
      <c r="H8" s="27"/>
      <c r="I8" s="22"/>
    </row>
    <row r="9" spans="1:9" s="24" customFormat="1" ht="15.75">
      <c r="A9" s="11" t="s">
        <v>28</v>
      </c>
      <c r="B9" s="22"/>
      <c r="C9" s="23">
        <v>95</v>
      </c>
      <c r="D9" s="24" t="s">
        <v>25</v>
      </c>
      <c r="G9" s="22"/>
      <c r="H9" s="27"/>
      <c r="I9" s="22"/>
    </row>
    <row r="10" spans="1:9" s="24" customFormat="1" ht="15.75">
      <c r="A10" s="11" t="s">
        <v>29</v>
      </c>
      <c r="B10" s="22"/>
      <c r="C10" s="26">
        <v>600</v>
      </c>
      <c r="D10" s="24" t="s">
        <v>27</v>
      </c>
      <c r="G10" s="22"/>
      <c r="H10" s="27"/>
      <c r="I10" s="22"/>
    </row>
    <row r="11" spans="1:9" s="24" customFormat="1" ht="15.75">
      <c r="A11" s="11" t="s">
        <v>51</v>
      </c>
      <c r="B11" s="22"/>
      <c r="C11" s="14">
        <v>200</v>
      </c>
      <c r="D11" s="24" t="s">
        <v>33</v>
      </c>
      <c r="G11" s="22"/>
      <c r="H11" s="27"/>
      <c r="I11" s="22"/>
    </row>
    <row r="12" spans="1:9" s="24" customFormat="1" ht="15.75">
      <c r="A12" s="11" t="s">
        <v>30</v>
      </c>
      <c r="B12" s="22"/>
      <c r="C12" s="26">
        <v>550</v>
      </c>
      <c r="D12" s="24" t="s">
        <v>27</v>
      </c>
      <c r="G12" s="22"/>
      <c r="H12" s="27"/>
      <c r="I12" s="22"/>
    </row>
    <row r="13" spans="1:9" s="24" customFormat="1" ht="15.75">
      <c r="A13" s="11" t="s">
        <v>52</v>
      </c>
      <c r="B13" s="22"/>
      <c r="C13" s="14">
        <v>185</v>
      </c>
      <c r="D13" s="24" t="s">
        <v>33</v>
      </c>
      <c r="G13" s="22"/>
      <c r="H13" s="27"/>
      <c r="I13" s="22"/>
    </row>
    <row r="14" spans="1:9" s="24" customFormat="1" ht="15.75">
      <c r="A14" s="11" t="s">
        <v>31</v>
      </c>
      <c r="B14" s="22"/>
      <c r="C14" s="29">
        <f>AVERAGE(C10,C12)</f>
        <v>575</v>
      </c>
      <c r="D14" s="24" t="s">
        <v>27</v>
      </c>
      <c r="G14" s="22"/>
      <c r="H14" s="27"/>
      <c r="I14" s="22"/>
    </row>
    <row r="15" spans="1:9" s="24" customFormat="1" ht="15.75">
      <c r="A15" s="11" t="s">
        <v>32</v>
      </c>
      <c r="B15" s="22"/>
      <c r="C15" s="28">
        <f>SUM(((C11*(C10/100))+(C13*(C12/100)))/2)/(C14/100)</f>
        <v>192.82608695652175</v>
      </c>
      <c r="D15" s="24" t="s">
        <v>33</v>
      </c>
      <c r="G15" s="22"/>
      <c r="H15" s="27"/>
      <c r="I15" s="22"/>
    </row>
    <row r="16" spans="1:9" s="24" customFormat="1" ht="7.5" customHeight="1">
      <c r="A16" s="11"/>
      <c r="B16" s="22"/>
      <c r="C16" s="28"/>
      <c r="G16" s="22"/>
      <c r="H16" s="27"/>
      <c r="I16" s="22"/>
    </row>
    <row r="17" spans="1:9" s="24" customFormat="1" ht="15.75">
      <c r="A17" s="11" t="s">
        <v>34</v>
      </c>
      <c r="B17" s="22"/>
      <c r="C17" s="23">
        <v>5.5</v>
      </c>
      <c r="D17" s="24" t="s">
        <v>25</v>
      </c>
      <c r="H17" s="25"/>
      <c r="I17" s="22"/>
    </row>
    <row r="18" spans="1:9" s="24" customFormat="1" ht="15.75">
      <c r="A18" s="11" t="s">
        <v>35</v>
      </c>
      <c r="B18" s="22"/>
      <c r="C18" s="23">
        <v>2.75</v>
      </c>
      <c r="D18" s="24" t="s">
        <v>25</v>
      </c>
      <c r="H18" s="22"/>
      <c r="I18" s="22"/>
    </row>
    <row r="19" spans="1:2" ht="7.5" customHeight="1">
      <c r="A19" s="10"/>
      <c r="B19" s="20"/>
    </row>
    <row r="20" spans="1:27" ht="18">
      <c r="A20" s="1"/>
      <c r="B20" s="63" t="s">
        <v>53</v>
      </c>
      <c r="C20" s="63"/>
      <c r="D20" s="63"/>
      <c r="E20" s="63"/>
      <c r="F20" s="63"/>
      <c r="G20" s="63"/>
      <c r="H20" s="63"/>
      <c r="I20" s="63"/>
      <c r="J20" s="63"/>
      <c r="K20" s="63"/>
      <c r="L20" s="2"/>
      <c r="M20" s="2"/>
      <c r="N20" s="2"/>
      <c r="O20" s="2"/>
      <c r="P20" s="2"/>
      <c r="Q20" s="2"/>
      <c r="R20" s="2"/>
      <c r="S20" s="2"/>
      <c r="T20" s="2"/>
      <c r="U20" s="2"/>
      <c r="V20" s="2"/>
      <c r="W20" s="3"/>
      <c r="X20" s="3"/>
      <c r="Y20" s="3"/>
      <c r="Z20" s="3"/>
      <c r="AA20" s="3"/>
    </row>
    <row r="21" spans="1:10" ht="18">
      <c r="A21" s="10"/>
      <c r="C21" s="12" t="s">
        <v>0</v>
      </c>
      <c r="D21" s="12" t="s">
        <v>1</v>
      </c>
      <c r="E21" s="12" t="s">
        <v>2</v>
      </c>
      <c r="F21" s="12" t="s">
        <v>3</v>
      </c>
      <c r="G21" s="12" t="s">
        <v>4</v>
      </c>
      <c r="H21" s="12" t="s">
        <v>5</v>
      </c>
      <c r="I21" s="12" t="s">
        <v>6</v>
      </c>
      <c r="J21" s="12" t="s">
        <v>7</v>
      </c>
    </row>
    <row r="22" ht="18">
      <c r="A22" s="6" t="s">
        <v>8</v>
      </c>
    </row>
    <row r="23" spans="1:36" s="5" customFormat="1" ht="18">
      <c r="A23" s="10"/>
      <c r="B23" s="5" t="s">
        <v>54</v>
      </c>
      <c r="C23" s="21">
        <v>447.62</v>
      </c>
      <c r="D23" s="14">
        <v>355</v>
      </c>
      <c r="E23" s="14">
        <v>359.88124999999997</v>
      </c>
      <c r="F23" s="14">
        <v>364.82961718749993</v>
      </c>
      <c r="G23" s="14">
        <v>369.84602442382806</v>
      </c>
      <c r="H23" s="14">
        <v>374.93140725965566</v>
      </c>
      <c r="I23" s="14">
        <v>380.0867141094759</v>
      </c>
      <c r="J23" s="14">
        <v>385.3129064284812</v>
      </c>
      <c r="W23" s="4"/>
      <c r="X23" s="4"/>
      <c r="Y23" s="4"/>
      <c r="Z23" s="4"/>
      <c r="AA23" s="4"/>
      <c r="AB23" s="4"/>
      <c r="AC23" s="4"/>
      <c r="AD23" s="4"/>
      <c r="AE23" s="4"/>
      <c r="AF23" s="4"/>
      <c r="AG23" s="4"/>
      <c r="AH23" s="4"/>
      <c r="AI23" s="4"/>
      <c r="AJ23" s="4"/>
    </row>
    <row r="24" spans="1:36" s="5" customFormat="1" ht="18.75">
      <c r="A24" s="10"/>
      <c r="B24" s="5" t="s">
        <v>9</v>
      </c>
      <c r="C24" s="52">
        <v>272.93</v>
      </c>
      <c r="D24" s="13">
        <f aca="true" t="shared" si="0" ref="D24:J24">SUM(C24*(1+($C$18/100/2)))</f>
        <v>276.68278749999996</v>
      </c>
      <c r="E24" s="13">
        <f t="shared" si="0"/>
        <v>280.4871758281249</v>
      </c>
      <c r="F24" s="13">
        <f t="shared" si="0"/>
        <v>284.3438744957616</v>
      </c>
      <c r="G24" s="13">
        <f t="shared" si="0"/>
        <v>288.2536027700783</v>
      </c>
      <c r="H24" s="13">
        <f t="shared" si="0"/>
        <v>292.21708980816686</v>
      </c>
      <c r="I24" s="13">
        <f t="shared" si="0"/>
        <v>296.2350747930291</v>
      </c>
      <c r="J24" s="13">
        <f t="shared" si="0"/>
        <v>300.30830707143326</v>
      </c>
      <c r="W24" s="4"/>
      <c r="X24" s="4"/>
      <c r="Y24" s="4"/>
      <c r="Z24" s="4"/>
      <c r="AA24" s="4"/>
      <c r="AB24" s="4"/>
      <c r="AC24" s="4"/>
      <c r="AD24" s="4"/>
      <c r="AE24" s="4"/>
      <c r="AF24" s="4"/>
      <c r="AG24" s="4"/>
      <c r="AH24" s="4"/>
      <c r="AI24" s="4"/>
      <c r="AJ24" s="4"/>
    </row>
    <row r="25" spans="1:36" s="5" customFormat="1" ht="18">
      <c r="A25" s="10"/>
      <c r="B25" s="5" t="s">
        <v>10</v>
      </c>
      <c r="C25" s="13">
        <f>SUM((C23+C24)/2)*C17/100</f>
        <v>19.815125</v>
      </c>
      <c r="D25" s="13">
        <f aca="true" t="shared" si="1" ref="D25:J25">SUM((D23+D24)/2)*$C$17/100</f>
        <v>17.371276656249997</v>
      </c>
      <c r="E25" s="13">
        <f t="shared" si="1"/>
        <v>17.610131710273432</v>
      </c>
      <c r="F25" s="13">
        <f t="shared" si="1"/>
        <v>17.852271021289695</v>
      </c>
      <c r="G25" s="13">
        <f t="shared" si="1"/>
        <v>18.097739747832424</v>
      </c>
      <c r="H25" s="13">
        <f t="shared" si="1"/>
        <v>18.346583669365117</v>
      </c>
      <c r="I25" s="13">
        <f t="shared" si="1"/>
        <v>18.598849194818886</v>
      </c>
      <c r="J25" s="13">
        <f t="shared" si="1"/>
        <v>18.854583371247646</v>
      </c>
      <c r="W25" s="4"/>
      <c r="X25" s="4"/>
      <c r="Y25" s="4"/>
      <c r="Z25" s="4"/>
      <c r="AA25" s="4"/>
      <c r="AB25" s="4"/>
      <c r="AC25" s="4"/>
      <c r="AD25" s="4"/>
      <c r="AE25" s="4"/>
      <c r="AF25" s="4"/>
      <c r="AG25" s="4"/>
      <c r="AH25" s="4"/>
      <c r="AI25" s="4"/>
      <c r="AJ25" s="4"/>
    </row>
    <row r="26" spans="1:36" s="5" customFormat="1" ht="18">
      <c r="A26" s="9" t="s">
        <v>11</v>
      </c>
      <c r="B26" s="4"/>
      <c r="C26" s="13">
        <f>SUM(C23:C25)</f>
        <v>740.3651249999999</v>
      </c>
      <c r="D26" s="13">
        <f aca="true" t="shared" si="2" ref="D26:J26">SUM(D23:D25)</f>
        <v>649.0540641562499</v>
      </c>
      <c r="E26" s="13">
        <f t="shared" si="2"/>
        <v>657.9785575383983</v>
      </c>
      <c r="F26" s="13">
        <f t="shared" si="2"/>
        <v>667.0257627045512</v>
      </c>
      <c r="G26" s="13">
        <f t="shared" si="2"/>
        <v>676.1973669417388</v>
      </c>
      <c r="H26" s="13">
        <f t="shared" si="2"/>
        <v>685.4950807371877</v>
      </c>
      <c r="I26" s="13">
        <f t="shared" si="2"/>
        <v>694.9206380973238</v>
      </c>
      <c r="J26" s="13">
        <f t="shared" si="2"/>
        <v>704.4757968711621</v>
      </c>
      <c r="W26" s="4"/>
      <c r="X26" s="4"/>
      <c r="Y26" s="4"/>
      <c r="Z26" s="4"/>
      <c r="AA26" s="4"/>
      <c r="AB26" s="4"/>
      <c r="AC26" s="4"/>
      <c r="AD26" s="4"/>
      <c r="AE26" s="4"/>
      <c r="AF26" s="4"/>
      <c r="AG26" s="4"/>
      <c r="AH26" s="4"/>
      <c r="AI26" s="4"/>
      <c r="AJ26" s="4"/>
    </row>
    <row r="27" spans="1:36" s="5" customFormat="1" ht="18.75">
      <c r="A27" s="9" t="s">
        <v>12</v>
      </c>
      <c r="B27" s="4"/>
      <c r="C27" s="52">
        <v>217.48</v>
      </c>
      <c r="D27" s="13">
        <f aca="true" t="shared" si="3" ref="D27:J27">SUM(C27*(1+($C$18/100/2)))</f>
        <v>220.47034999999997</v>
      </c>
      <c r="E27" s="13">
        <f t="shared" si="3"/>
        <v>223.50181731249995</v>
      </c>
      <c r="F27" s="13">
        <f t="shared" si="3"/>
        <v>226.5749673005468</v>
      </c>
      <c r="G27" s="13">
        <f t="shared" si="3"/>
        <v>229.6903731009293</v>
      </c>
      <c r="H27" s="13">
        <f t="shared" si="3"/>
        <v>232.84861573106704</v>
      </c>
      <c r="I27" s="13">
        <f t="shared" si="3"/>
        <v>236.0502841973692</v>
      </c>
      <c r="J27" s="13">
        <f t="shared" si="3"/>
        <v>239.29597560508302</v>
      </c>
      <c r="W27" s="4"/>
      <c r="X27" s="4"/>
      <c r="Y27" s="4"/>
      <c r="Z27" s="4"/>
      <c r="AA27" s="4"/>
      <c r="AB27" s="4"/>
      <c r="AC27" s="4"/>
      <c r="AD27" s="4"/>
      <c r="AE27" s="4"/>
      <c r="AF27" s="4"/>
      <c r="AG27" s="4"/>
      <c r="AH27" s="4"/>
      <c r="AI27" s="4"/>
      <c r="AJ27" s="4"/>
    </row>
    <row r="28" spans="1:36" s="5" customFormat="1" ht="18">
      <c r="A28" s="9" t="s">
        <v>13</v>
      </c>
      <c r="B28" s="4"/>
      <c r="C28" s="13">
        <f>SUM(C26:C27)</f>
        <v>957.8451249999999</v>
      </c>
      <c r="D28" s="13">
        <f aca="true" t="shared" si="4" ref="D28:J28">SUM(D26:D27)</f>
        <v>869.5244141562498</v>
      </c>
      <c r="E28" s="13">
        <f t="shared" si="4"/>
        <v>881.4803748508982</v>
      </c>
      <c r="F28" s="13">
        <f t="shared" si="4"/>
        <v>893.6007300050981</v>
      </c>
      <c r="G28" s="13">
        <f t="shared" si="4"/>
        <v>905.887740042668</v>
      </c>
      <c r="H28" s="13">
        <f t="shared" si="4"/>
        <v>918.3436964682547</v>
      </c>
      <c r="I28" s="13">
        <f t="shared" si="4"/>
        <v>930.9709222946931</v>
      </c>
      <c r="J28" s="13">
        <f t="shared" si="4"/>
        <v>943.7717724762451</v>
      </c>
      <c r="W28" s="4"/>
      <c r="X28" s="4"/>
      <c r="Y28" s="4"/>
      <c r="Z28" s="4"/>
      <c r="AA28" s="4"/>
      <c r="AB28" s="4"/>
      <c r="AC28" s="4"/>
      <c r="AD28" s="4"/>
      <c r="AE28" s="4"/>
      <c r="AF28" s="4"/>
      <c r="AG28" s="4"/>
      <c r="AH28" s="4"/>
      <c r="AI28" s="4"/>
      <c r="AJ28" s="4"/>
    </row>
    <row r="29" spans="1:36" s="5" customFormat="1" ht="18.75">
      <c r="A29" s="9" t="s">
        <v>14</v>
      </c>
      <c r="C29" s="21">
        <v>192</v>
      </c>
      <c r="D29" s="13">
        <f aca="true" t="shared" si="5" ref="D29:J29">SUM(C29*(1+($C$18/100/2)))</f>
        <v>194.64</v>
      </c>
      <c r="E29" s="13">
        <f t="shared" si="5"/>
        <v>197.31629999999998</v>
      </c>
      <c r="F29" s="13">
        <f t="shared" si="5"/>
        <v>200.02939912499997</v>
      </c>
      <c r="G29" s="13">
        <f t="shared" si="5"/>
        <v>202.7798033629687</v>
      </c>
      <c r="H29" s="13">
        <f t="shared" si="5"/>
        <v>205.5680256592095</v>
      </c>
      <c r="I29" s="13">
        <f t="shared" si="5"/>
        <v>208.3945860120236</v>
      </c>
      <c r="J29" s="13">
        <f t="shared" si="5"/>
        <v>211.2600115696889</v>
      </c>
      <c r="W29" s="4"/>
      <c r="X29" s="4"/>
      <c r="Y29" s="4"/>
      <c r="Z29" s="4"/>
      <c r="AA29" s="4"/>
      <c r="AB29" s="4"/>
      <c r="AC29" s="4"/>
      <c r="AD29" s="4"/>
      <c r="AE29" s="4"/>
      <c r="AF29" s="4"/>
      <c r="AG29" s="4"/>
      <c r="AH29" s="4"/>
      <c r="AI29" s="4"/>
      <c r="AJ29" s="4"/>
    </row>
    <row r="30" spans="1:36" s="5" customFormat="1" ht="18">
      <c r="A30" s="9" t="s">
        <v>15</v>
      </c>
      <c r="C30" s="15">
        <f>SUM(C29+C28)</f>
        <v>1149.8451249999998</v>
      </c>
      <c r="D30" s="15">
        <f aca="true" t="shared" si="6" ref="D30:J30">SUM(D29+D28)</f>
        <v>1064.1644141562497</v>
      </c>
      <c r="E30" s="15">
        <f t="shared" si="6"/>
        <v>1078.7966748508982</v>
      </c>
      <c r="F30" s="15">
        <f t="shared" si="6"/>
        <v>1093.630129130098</v>
      </c>
      <c r="G30" s="15">
        <f t="shared" si="6"/>
        <v>1108.6675434056367</v>
      </c>
      <c r="H30" s="15">
        <f t="shared" si="6"/>
        <v>1123.9117221274641</v>
      </c>
      <c r="I30" s="15">
        <f t="shared" si="6"/>
        <v>1139.3655083067167</v>
      </c>
      <c r="J30" s="15">
        <f t="shared" si="6"/>
        <v>1155.031784045934</v>
      </c>
      <c r="W30" s="4"/>
      <c r="X30" s="4"/>
      <c r="Y30" s="4"/>
      <c r="Z30" s="4"/>
      <c r="AA30" s="4"/>
      <c r="AB30" s="4"/>
      <c r="AC30" s="4"/>
      <c r="AD30" s="4"/>
      <c r="AE30" s="4"/>
      <c r="AF30" s="4"/>
      <c r="AG30" s="4"/>
      <c r="AH30" s="4"/>
      <c r="AI30" s="4"/>
      <c r="AJ30" s="4"/>
    </row>
    <row r="31" spans="1:36" s="5" customFormat="1" ht="18" customHeight="1">
      <c r="A31" s="10"/>
      <c r="W31" s="4"/>
      <c r="X31" s="4"/>
      <c r="Y31" s="4"/>
      <c r="Z31" s="4"/>
      <c r="AA31" s="4"/>
      <c r="AB31" s="4"/>
      <c r="AC31" s="4"/>
      <c r="AD31" s="4"/>
      <c r="AE31" s="4"/>
      <c r="AF31" s="4"/>
      <c r="AG31" s="4"/>
      <c r="AH31" s="4"/>
      <c r="AI31" s="4"/>
      <c r="AJ31" s="4"/>
    </row>
    <row r="32" spans="1:36" s="5" customFormat="1" ht="18">
      <c r="A32" s="6" t="s">
        <v>16</v>
      </c>
      <c r="W32" s="4"/>
      <c r="X32" s="4"/>
      <c r="Y32" s="4"/>
      <c r="Z32" s="4"/>
      <c r="AA32" s="4"/>
      <c r="AB32" s="4"/>
      <c r="AC32" s="4"/>
      <c r="AD32" s="4"/>
      <c r="AE32" s="4"/>
      <c r="AF32" s="4"/>
      <c r="AG32" s="4"/>
      <c r="AH32" s="4"/>
      <c r="AI32" s="4"/>
      <c r="AJ32" s="4"/>
    </row>
    <row r="33" spans="1:36" s="5" customFormat="1" ht="18">
      <c r="A33" s="10"/>
      <c r="B33" s="11" t="s">
        <v>17</v>
      </c>
      <c r="C33" s="30">
        <f>C15</f>
        <v>192.82608695652175</v>
      </c>
      <c r="D33" s="62">
        <v>190</v>
      </c>
      <c r="E33" s="62">
        <v>190</v>
      </c>
      <c r="F33" s="62">
        <v>195</v>
      </c>
      <c r="G33" s="62">
        <v>203</v>
      </c>
      <c r="H33" s="62">
        <v>210</v>
      </c>
      <c r="I33" s="62">
        <v>222</v>
      </c>
      <c r="J33" s="62">
        <v>230</v>
      </c>
      <c r="W33" s="4"/>
      <c r="X33" s="4"/>
      <c r="Y33" s="4"/>
      <c r="Z33" s="4"/>
      <c r="AA33" s="4"/>
      <c r="AB33" s="4"/>
      <c r="AC33" s="4"/>
      <c r="AD33" s="4"/>
      <c r="AE33" s="4"/>
      <c r="AF33" s="4"/>
      <c r="AG33" s="4"/>
      <c r="AH33" s="4"/>
      <c r="AI33" s="4"/>
      <c r="AJ33" s="4"/>
    </row>
    <row r="34" spans="1:36" s="5" customFormat="1" ht="18">
      <c r="A34" s="10"/>
      <c r="B34" s="11" t="s">
        <v>18</v>
      </c>
      <c r="C34" s="15">
        <f aca="true" t="shared" si="7" ref="C34:J34">SUM((C33/100)*$C$14)*($C$9/100)</f>
        <v>1053.3125</v>
      </c>
      <c r="D34" s="15">
        <f t="shared" si="7"/>
        <v>1037.875</v>
      </c>
      <c r="E34" s="15">
        <f t="shared" si="7"/>
        <v>1037.875</v>
      </c>
      <c r="F34" s="15">
        <f t="shared" si="7"/>
        <v>1065.1875</v>
      </c>
      <c r="G34" s="15">
        <f t="shared" si="7"/>
        <v>1108.8875</v>
      </c>
      <c r="H34" s="15">
        <f t="shared" si="7"/>
        <v>1147.125</v>
      </c>
      <c r="I34" s="15">
        <f t="shared" si="7"/>
        <v>1212.675</v>
      </c>
      <c r="J34" s="15">
        <f t="shared" si="7"/>
        <v>1256.375</v>
      </c>
      <c r="W34" s="4"/>
      <c r="X34" s="4"/>
      <c r="Y34" s="4"/>
      <c r="Z34" s="4"/>
      <c r="AA34" s="4"/>
      <c r="AB34" s="4"/>
      <c r="AC34" s="4"/>
      <c r="AD34" s="4"/>
      <c r="AE34" s="4"/>
      <c r="AF34" s="4"/>
      <c r="AG34" s="4"/>
      <c r="AH34" s="4"/>
      <c r="AI34" s="4"/>
      <c r="AJ34" s="4"/>
    </row>
    <row r="35" spans="1:36" s="5" customFormat="1" ht="7.5" customHeight="1">
      <c r="A35" s="10"/>
      <c r="B35" s="11"/>
      <c r="C35" s="15"/>
      <c r="D35" s="15"/>
      <c r="E35" s="15"/>
      <c r="F35" s="15"/>
      <c r="G35" s="15"/>
      <c r="H35" s="15"/>
      <c r="I35" s="15"/>
      <c r="J35" s="15"/>
      <c r="W35" s="4"/>
      <c r="X35" s="4"/>
      <c r="Y35" s="4"/>
      <c r="Z35" s="4"/>
      <c r="AA35" s="4"/>
      <c r="AB35" s="4"/>
      <c r="AC35" s="4"/>
      <c r="AD35" s="4"/>
      <c r="AE35" s="4"/>
      <c r="AF35" s="4"/>
      <c r="AG35" s="4"/>
      <c r="AH35" s="4"/>
      <c r="AI35" s="4"/>
      <c r="AJ35" s="4"/>
    </row>
    <row r="36" spans="2:10" s="7" customFormat="1" ht="15" customHeight="1">
      <c r="B36" s="31" t="s">
        <v>37</v>
      </c>
      <c r="C36" s="8"/>
      <c r="D36" s="8"/>
      <c r="E36" s="8"/>
      <c r="F36" s="32"/>
      <c r="G36" s="24"/>
      <c r="H36" s="33"/>
      <c r="I36" s="8"/>
      <c r="J36" s="8"/>
    </row>
    <row r="37" spans="2:12" s="7" customFormat="1" ht="15" customHeight="1">
      <c r="B37" s="11" t="s">
        <v>38</v>
      </c>
      <c r="C37" s="34">
        <f>SUM(C34-C26)</f>
        <v>312.9473750000001</v>
      </c>
      <c r="D37" s="34">
        <f aca="true" t="shared" si="8" ref="D37:J37">SUM(D34-D26)</f>
        <v>388.82093584375014</v>
      </c>
      <c r="E37" s="34">
        <f t="shared" si="8"/>
        <v>379.89644246160174</v>
      </c>
      <c r="F37" s="34">
        <f t="shared" si="8"/>
        <v>398.1617372954488</v>
      </c>
      <c r="G37" s="34">
        <f t="shared" si="8"/>
        <v>432.69013305826127</v>
      </c>
      <c r="H37" s="34">
        <f t="shared" si="8"/>
        <v>461.62991926281234</v>
      </c>
      <c r="I37" s="34">
        <f t="shared" si="8"/>
        <v>517.7543619026761</v>
      </c>
      <c r="J37" s="34">
        <f t="shared" si="8"/>
        <v>551.8992031288379</v>
      </c>
      <c r="L37" s="35"/>
    </row>
    <row r="38" spans="2:10" s="7" customFormat="1" ht="15" customHeight="1">
      <c r="B38" s="11" t="s">
        <v>39</v>
      </c>
      <c r="C38" s="34">
        <f>SUM(C34-C26-C29)</f>
        <v>120.94737500000008</v>
      </c>
      <c r="D38" s="34">
        <f aca="true" t="shared" si="9" ref="D38:J38">SUM(D34-D26-D29)</f>
        <v>194.18093584375015</v>
      </c>
      <c r="E38" s="34">
        <f t="shared" si="9"/>
        <v>182.58014246160175</v>
      </c>
      <c r="F38" s="34">
        <f t="shared" si="9"/>
        <v>198.13233817044883</v>
      </c>
      <c r="G38" s="34">
        <f t="shared" si="9"/>
        <v>229.91032969529257</v>
      </c>
      <c r="H38" s="34">
        <f t="shared" si="9"/>
        <v>256.0618936036028</v>
      </c>
      <c r="I38" s="34">
        <f t="shared" si="9"/>
        <v>309.3597758906525</v>
      </c>
      <c r="J38" s="34">
        <f t="shared" si="9"/>
        <v>340.639191559149</v>
      </c>
    </row>
    <row r="39" spans="2:10" s="7" customFormat="1" ht="15" customHeight="1">
      <c r="B39" s="11" t="s">
        <v>40</v>
      </c>
      <c r="C39" s="34">
        <f>SUM(C34-C26-C27)</f>
        <v>95.46737500000009</v>
      </c>
      <c r="D39" s="34">
        <f aca="true" t="shared" si="10" ref="D39:J39">SUM(D34-D26-D27)</f>
        <v>168.35058584375017</v>
      </c>
      <c r="E39" s="34">
        <f t="shared" si="10"/>
        <v>156.39462514910178</v>
      </c>
      <c r="F39" s="34">
        <f t="shared" si="10"/>
        <v>171.586769994902</v>
      </c>
      <c r="G39" s="34">
        <f t="shared" si="10"/>
        <v>202.99975995733197</v>
      </c>
      <c r="H39" s="34">
        <f t="shared" si="10"/>
        <v>228.7813035317453</v>
      </c>
      <c r="I39" s="34">
        <f t="shared" si="10"/>
        <v>281.70407770530693</v>
      </c>
      <c r="J39" s="34">
        <f t="shared" si="10"/>
        <v>312.6032275237549</v>
      </c>
    </row>
    <row r="40" spans="2:10" s="7" customFormat="1" ht="15" customHeight="1">
      <c r="B40" s="11" t="s">
        <v>41</v>
      </c>
      <c r="C40" s="34">
        <f>SUM(C34-C30)</f>
        <v>-96.53262499999983</v>
      </c>
      <c r="D40" s="34">
        <f aca="true" t="shared" si="11" ref="D40:J40">SUM(D34-D30)</f>
        <v>-26.289414156249677</v>
      </c>
      <c r="E40" s="34">
        <f t="shared" si="11"/>
        <v>-40.92167485089817</v>
      </c>
      <c r="F40" s="34">
        <f t="shared" si="11"/>
        <v>-28.442629130098112</v>
      </c>
      <c r="G40" s="34">
        <f t="shared" si="11"/>
        <v>0.2199565943633388</v>
      </c>
      <c r="H40" s="34">
        <f t="shared" si="11"/>
        <v>23.213277872535855</v>
      </c>
      <c r="I40" s="34">
        <f t="shared" si="11"/>
        <v>73.30949169328323</v>
      </c>
      <c r="J40" s="34">
        <f t="shared" si="11"/>
        <v>101.34321595406595</v>
      </c>
    </row>
    <row r="41" spans="2:10" s="7" customFormat="1" ht="7.5" customHeight="1">
      <c r="B41" s="11"/>
      <c r="C41" s="34"/>
      <c r="D41" s="34"/>
      <c r="E41" s="34"/>
      <c r="F41" s="34"/>
      <c r="G41" s="34"/>
      <c r="H41" s="34"/>
      <c r="I41" s="34"/>
      <c r="J41" s="34"/>
    </row>
    <row r="42" spans="1:36" s="5" customFormat="1" ht="18">
      <c r="A42" s="10"/>
      <c r="B42" s="11" t="s">
        <v>19</v>
      </c>
      <c r="C42" s="30">
        <f>C6</f>
        <v>75</v>
      </c>
      <c r="D42" s="62">
        <v>90</v>
      </c>
      <c r="E42" s="62">
        <v>90</v>
      </c>
      <c r="F42" s="62">
        <v>95</v>
      </c>
      <c r="G42" s="62">
        <v>103</v>
      </c>
      <c r="H42" s="62">
        <v>110</v>
      </c>
      <c r="I42" s="62">
        <v>122</v>
      </c>
      <c r="J42" s="62">
        <v>130</v>
      </c>
      <c r="W42" s="4"/>
      <c r="X42" s="4"/>
      <c r="Y42" s="4"/>
      <c r="Z42" s="4"/>
      <c r="AA42" s="4"/>
      <c r="AB42" s="4"/>
      <c r="AC42" s="4"/>
      <c r="AD42" s="4"/>
      <c r="AE42" s="4"/>
      <c r="AF42" s="4"/>
      <c r="AG42" s="4"/>
      <c r="AH42" s="4"/>
      <c r="AI42" s="4"/>
      <c r="AJ42" s="4"/>
    </row>
    <row r="43" spans="1:36" s="5" customFormat="1" ht="18">
      <c r="A43" s="10"/>
      <c r="B43" s="11" t="s">
        <v>20</v>
      </c>
      <c r="C43" s="28">
        <f aca="true" t="shared" si="12" ref="C43:J43">SUM($C$5/100)*C42</f>
        <v>1012.5</v>
      </c>
      <c r="D43" s="28">
        <f t="shared" si="12"/>
        <v>1215</v>
      </c>
      <c r="E43" s="28">
        <f t="shared" si="12"/>
        <v>1215</v>
      </c>
      <c r="F43" s="28">
        <f t="shared" si="12"/>
        <v>1282.5</v>
      </c>
      <c r="G43" s="28">
        <f t="shared" si="12"/>
        <v>1390.5</v>
      </c>
      <c r="H43" s="28">
        <f t="shared" si="12"/>
        <v>1485</v>
      </c>
      <c r="I43" s="28">
        <f t="shared" si="12"/>
        <v>1647</v>
      </c>
      <c r="J43" s="28">
        <f t="shared" si="12"/>
        <v>1755</v>
      </c>
      <c r="L43" s="13"/>
      <c r="W43" s="4"/>
      <c r="X43" s="4"/>
      <c r="Y43" s="4"/>
      <c r="Z43" s="4"/>
      <c r="AA43" s="4"/>
      <c r="AB43" s="4"/>
      <c r="AC43" s="4"/>
      <c r="AD43" s="4"/>
      <c r="AE43" s="4"/>
      <c r="AF43" s="4"/>
      <c r="AG43" s="4"/>
      <c r="AH43" s="4"/>
      <c r="AI43" s="4"/>
      <c r="AJ43" s="4"/>
    </row>
    <row r="44" spans="1:36" s="5" customFormat="1" ht="18" customHeight="1">
      <c r="A44" s="6"/>
      <c r="C44" s="13"/>
      <c r="W44" s="4"/>
      <c r="X44" s="4"/>
      <c r="Y44" s="4"/>
      <c r="Z44" s="4"/>
      <c r="AA44" s="4"/>
      <c r="AB44" s="4"/>
      <c r="AC44" s="4"/>
      <c r="AD44" s="4"/>
      <c r="AE44" s="4"/>
      <c r="AF44" s="4"/>
      <c r="AG44" s="4"/>
      <c r="AH44" s="4"/>
      <c r="AI44" s="4"/>
      <c r="AJ44" s="4"/>
    </row>
    <row r="45" spans="1:27" ht="24" customHeight="1">
      <c r="A45" s="63" t="s">
        <v>49</v>
      </c>
      <c r="B45" s="63"/>
      <c r="C45" s="63"/>
      <c r="D45" s="63"/>
      <c r="E45" s="63"/>
      <c r="F45" s="63"/>
      <c r="G45" s="63"/>
      <c r="H45" s="63"/>
      <c r="I45" s="63"/>
      <c r="J45" s="63"/>
      <c r="K45" s="63"/>
      <c r="L45" s="2"/>
      <c r="M45" s="2"/>
      <c r="N45" s="2"/>
      <c r="O45" s="2"/>
      <c r="P45" s="2"/>
      <c r="Q45" s="2"/>
      <c r="R45" s="2"/>
      <c r="S45" s="2"/>
      <c r="T45" s="2"/>
      <c r="U45" s="2"/>
      <c r="V45" s="2"/>
      <c r="W45" s="3"/>
      <c r="X45" s="3"/>
      <c r="Y45" s="3"/>
      <c r="Z45" s="3"/>
      <c r="AA45" s="3"/>
    </row>
    <row r="46" spans="1:10" ht="18">
      <c r="A46" s="10"/>
      <c r="C46" s="12" t="s">
        <v>0</v>
      </c>
      <c r="D46" s="12" t="s">
        <v>1</v>
      </c>
      <c r="E46" s="12" t="s">
        <v>2</v>
      </c>
      <c r="F46" s="12" t="s">
        <v>3</v>
      </c>
      <c r="G46" s="12" t="s">
        <v>4</v>
      </c>
      <c r="H46" s="12" t="s">
        <v>5</v>
      </c>
      <c r="I46" s="12" t="s">
        <v>6</v>
      </c>
      <c r="J46" s="12" t="s">
        <v>7</v>
      </c>
    </row>
    <row r="47" spans="1:36" s="5" customFormat="1" ht="7.5" customHeight="1">
      <c r="A47" s="6"/>
      <c r="C47" s="13"/>
      <c r="W47" s="4"/>
      <c r="X47" s="4"/>
      <c r="Y47" s="4"/>
      <c r="Z47" s="4"/>
      <c r="AA47" s="4"/>
      <c r="AB47" s="4"/>
      <c r="AC47" s="4"/>
      <c r="AD47" s="4"/>
      <c r="AE47" s="4"/>
      <c r="AF47" s="4"/>
      <c r="AG47" s="4"/>
      <c r="AH47" s="4"/>
      <c r="AI47" s="4"/>
      <c r="AJ47" s="4"/>
    </row>
    <row r="48" spans="1:10" ht="18">
      <c r="A48" s="3"/>
      <c r="B48" s="16" t="s">
        <v>21</v>
      </c>
      <c r="C48" s="17">
        <f>NPV(C18/100,(C34-C26)+C43)</f>
        <v>1289.9731143552312</v>
      </c>
      <c r="D48" s="17">
        <f>NPV(C18/100,C34-C26,D34-D26+$D$43)</f>
        <v>1823.692129368166</v>
      </c>
      <c r="E48" s="17">
        <f>NPV(C18/100,C34-C26,D34-D26,E34-E26+$E$43)</f>
        <v>2143.0941216345304</v>
      </c>
      <c r="F48" s="17">
        <f>NPV(C18/100,C34-C26,D34-D26,E34-E26,F34-F26+$F$43)</f>
        <v>2530.893325754031</v>
      </c>
      <c r="G48" s="17">
        <f>NPV(C18/100,C34-C26,D34-D26,E34-E26,F34-F26,G34-G26+$G$43)</f>
        <v>2972.2040274174938</v>
      </c>
      <c r="H48" s="17">
        <f>NPV(C18/100,C34-C26,D34-D26,E34-E26,F34-F26,G34-G26,H34-H26+$H$43)</f>
        <v>3412.300129949208</v>
      </c>
      <c r="I48" s="17">
        <f>NPV(C18/100,C34-C26,D34-D26,E34-E26,F34-F26,G34-G26,H34-H26,I34-I26+$I$43)</f>
        <v>3940.7107482424917</v>
      </c>
      <c r="J48" s="17">
        <f>NPV(C18/100,C34-C26,D34-D26,E34-E26,F34-F26,G34-G26,H34-H26,I34-I26,J34-J26+$J$43)</f>
        <v>4435.411588633313</v>
      </c>
    </row>
    <row r="49" spans="1:10" ht="18">
      <c r="A49" s="6"/>
      <c r="B49" s="11" t="s">
        <v>22</v>
      </c>
      <c r="C49" s="17">
        <f>NPV(C18/100,(C34-C26-C29)+C43)</f>
        <v>1103.111800486618</v>
      </c>
      <c r="D49" s="17">
        <f>NPV(C18/100,C34-C26-C29,D34-D26-D29+$D$43)</f>
        <v>1452.4700788238288</v>
      </c>
      <c r="E49" s="17">
        <f>NPV(C18/100,C34-C26-C29,D34-D26-D29,E34-E26-E29+$E$43)</f>
        <v>1589.978448895531</v>
      </c>
      <c r="F49" s="17">
        <f>NPV(C18/100,C34-C26-C29,D34-D26-D29,E34-E26-E29,F34-F26-F29+$F$43)</f>
        <v>1798.318130387451</v>
      </c>
      <c r="G49" s="17">
        <f>NPV(C18/100,C34-C26-C29,D34-D26-D29,E34-E26-E29,F34-F26-F29,G34-G26-G29+$G$43)</f>
        <v>2062.5708358818542</v>
      </c>
      <c r="H49" s="17">
        <f>NPV(C18/100,C34-C26-C29,D34-D26-D29,E34-E26-E29,F34-F26-F29,G34-G26-G29,H34-H26-H29+$H$43)</f>
        <v>2327.978331487646</v>
      </c>
      <c r="I49" s="17">
        <f>NPV(C18/100,C34-C26-C29,D34-D26-D29,E34-E26-E29,F34-F26-F29,G34-G26-G29,H34-H26-H29,I34-I26-I29+$I$43)</f>
        <v>2684.0380249428244</v>
      </c>
      <c r="J49" s="17">
        <f>NPV(C18/100,C34-C26-C29,D34-D26-D29,E34-E26-E29,F34-F26-F29,G34-G26-G29,H34-H26-H29,I34-I26-I29,J34-J26-J29+$J$43)</f>
        <v>3008.6943397330333</v>
      </c>
    </row>
    <row r="50" spans="1:10" ht="18">
      <c r="A50" s="6"/>
      <c r="B50" s="11" t="s">
        <v>23</v>
      </c>
      <c r="C50" s="17">
        <f>NPV(C18/100,C34-C26-C27+C43)</f>
        <v>1078.3137469586375</v>
      </c>
      <c r="D50" s="17">
        <f>NPV(C18/100,C34-C26-C27,D34-D26-D27+$D$43)</f>
        <v>1403.2058191995077</v>
      </c>
      <c r="E50" s="17">
        <f>NPV(C18/100,C34-C26-C27,D34-D26-D27,E34-E26-E27+$E$43)</f>
        <v>1516.575389825793</v>
      </c>
      <c r="F50" s="17">
        <f>NPV(C18/100,C34-C26-C27,D34-D26-D27,E34-E26-E27,F34-F26-F27+$F$43)</f>
        <v>1701.0992971690114</v>
      </c>
      <c r="G50" s="17">
        <f>NPV(C18/100,C34-C26-C27,D34-D26-D27,E34-E26-E27,F34-F26-F27,G34-G26-G27+$G$43)</f>
        <v>1941.8549310884782</v>
      </c>
      <c r="H50" s="17">
        <f>NPV(C18/100,C34-C26-C27,D34-D26-D27,E34-E26-E27,F34-F26-F27,G34-G26-G27,H34-H26-H27+$H$43)</f>
        <v>2184.0797928168095</v>
      </c>
      <c r="I50" s="17">
        <f>NPV(C18/100,C34-C26-C27,D34-D26-D27,E34-E26-E27,F34-F26-F27,G34-G26-G27,H34-H26-H27,I34-I26-I27+$I$43)</f>
        <v>2517.267082288264</v>
      </c>
      <c r="J50" s="17">
        <f>NPV(C18/100,C34-C26-C27,D34-D26-D27,E34-E26-E27,F34-F26-F27,G34-G26-G27,H34-H26-H27,I34-I26-I27,J34-J26-J27+$J$43)</f>
        <v>2819.3570714935586</v>
      </c>
    </row>
    <row r="51" spans="1:10" ht="18">
      <c r="A51" s="6"/>
      <c r="B51" s="11" t="s">
        <v>24</v>
      </c>
      <c r="C51" s="18">
        <f>NPV(C18/100,(C34-C30)+C43)</f>
        <v>891.4524330900244</v>
      </c>
      <c r="D51" s="18">
        <f>NPV(C18/100,C34-C30,D34-D30+$D$43)</f>
        <v>1031.9837686551705</v>
      </c>
      <c r="E51" s="18">
        <f>NPV(C18/100,C34-C30,D34-D30,E34-E30+$E$43)</f>
        <v>963.4597170867941</v>
      </c>
      <c r="F51" s="18">
        <f>NPV(C18/100,C34-C30,D34-D30,E34-E30,F34-F30+$F$43)</f>
        <v>968.5241018024321</v>
      </c>
      <c r="G51" s="18">
        <f>NPV(C18/100,C34-C30,D34-D30,E34-E30,F34-F30,G34-G30+$G$43)</f>
        <v>1032.221739552839</v>
      </c>
      <c r="H51" s="18">
        <f>NPV(C18/100,C34-C30,D34-D30,E34-E30,F34-F30,G34-G30,H34-H30+$H$43)</f>
        <v>1099.7579943552482</v>
      </c>
      <c r="I51" s="18">
        <f>NPV(C18/100,C34-C30,D34-D30,E34-E30,F34-F30,G34-G30,H34-H30,I34-I30+$I$43)</f>
        <v>1260.5943589885978</v>
      </c>
      <c r="J51" s="18">
        <f>NPV(C18/100,C34-C30,D34-D30,E34-E30,F34-F30,G34-G30,H34-H30,I34-I30,J34-J30+$J$43)</f>
        <v>1392.6398225932794</v>
      </c>
    </row>
    <row r="52" spans="1:10" ht="7.5" customHeight="1">
      <c r="A52" s="6"/>
      <c r="B52" s="11"/>
      <c r="C52" s="18"/>
      <c r="D52" s="18"/>
      <c r="E52" s="18"/>
      <c r="F52" s="18"/>
      <c r="G52" s="18"/>
      <c r="H52" s="18"/>
      <c r="I52" s="18"/>
      <c r="J52" s="18"/>
    </row>
    <row r="53" spans="1:11" ht="11.25" customHeight="1">
      <c r="A53" s="64">
        <v>1</v>
      </c>
      <c r="B53" s="65" t="str">
        <f>"Yearly replacement value is calculated by adding the marginal returns from the current and each of the previous years and cull cow revenue in the current year at net present value (based on "&amp;C18&amp;"% annual investment cost)"</f>
        <v>Yearly replacement value is calculated by adding the marginal returns from the current and each of the previous years and cull cow revenue in the current year at net present value (based on 2.75% annual investment cost)</v>
      </c>
      <c r="C53" s="65"/>
      <c r="D53" s="65"/>
      <c r="E53" s="65"/>
      <c r="F53" s="65"/>
      <c r="G53" s="65"/>
      <c r="H53" s="65"/>
      <c r="I53" s="65"/>
      <c r="J53" s="65"/>
      <c r="K53" s="65"/>
    </row>
    <row r="54" spans="1:11" ht="21" customHeight="1">
      <c r="A54" s="64"/>
      <c r="B54" s="65"/>
      <c r="C54" s="65"/>
      <c r="D54" s="65"/>
      <c r="E54" s="65"/>
      <c r="F54" s="65"/>
      <c r="G54" s="65"/>
      <c r="H54" s="65"/>
      <c r="I54" s="65"/>
      <c r="J54" s="65"/>
      <c r="K54" s="65"/>
    </row>
    <row r="55" spans="1:2" ht="12" customHeight="1">
      <c r="A55" s="19">
        <v>2</v>
      </c>
      <c r="B55" s="20" t="str">
        <f>"Costs estimates are increased annually by "&amp;C18/2&amp;"% inflation rate"</f>
        <v>Costs estimates are increased annually by 1.375% inflation rate</v>
      </c>
    </row>
    <row r="56" spans="1:2" ht="7.5" customHeight="1">
      <c r="A56" s="10"/>
      <c r="B56" s="20"/>
    </row>
    <row r="57" spans="1:11" s="42" customFormat="1" ht="12.75" customHeight="1">
      <c r="A57" s="66" t="s">
        <v>59</v>
      </c>
      <c r="B57" s="66"/>
      <c r="C57" s="66"/>
      <c r="D57" s="66"/>
      <c r="E57" s="66"/>
      <c r="F57" s="66"/>
      <c r="G57" s="66"/>
      <c r="H57" s="66"/>
      <c r="I57" s="66"/>
      <c r="J57" s="66"/>
      <c r="K57" s="66"/>
    </row>
    <row r="58" spans="1:11" s="42" customFormat="1" ht="12.75" customHeight="1">
      <c r="A58" s="66"/>
      <c r="B58" s="66"/>
      <c r="C58" s="66"/>
      <c r="D58" s="66"/>
      <c r="E58" s="66"/>
      <c r="F58" s="66"/>
      <c r="G58" s="66"/>
      <c r="H58" s="66"/>
      <c r="I58" s="66"/>
      <c r="J58" s="66"/>
      <c r="K58" s="66"/>
    </row>
    <row r="59" spans="1:11" s="42" customFormat="1" ht="3" customHeight="1" hidden="1">
      <c r="A59" s="44"/>
      <c r="B59" s="45"/>
      <c r="C59" s="45"/>
      <c r="D59" s="45"/>
      <c r="E59" s="45"/>
      <c r="F59" s="45"/>
      <c r="G59" s="46"/>
      <c r="H59" s="46"/>
      <c r="I59" s="46"/>
      <c r="J59" s="46"/>
      <c r="K59" s="48"/>
    </row>
    <row r="60" spans="1:11" s="42" customFormat="1" ht="7.5" customHeight="1">
      <c r="A60" s="68"/>
      <c r="B60" s="45"/>
      <c r="C60" s="45"/>
      <c r="D60" s="45"/>
      <c r="E60" s="45"/>
      <c r="F60" s="45"/>
      <c r="G60" s="46"/>
      <c r="H60" s="46"/>
      <c r="I60" s="46"/>
      <c r="J60" s="46"/>
      <c r="K60" s="48"/>
    </row>
    <row r="61" spans="1:11" ht="18">
      <c r="A61" s="43" t="s">
        <v>44</v>
      </c>
      <c r="B61" s="59"/>
      <c r="C61" s="59"/>
      <c r="D61" s="54"/>
      <c r="E61" s="54"/>
      <c r="F61" s="54"/>
      <c r="G61" s="54"/>
      <c r="H61" s="55" t="s">
        <v>58</v>
      </c>
      <c r="I61" s="60"/>
      <c r="J61" s="61" t="s">
        <v>60</v>
      </c>
      <c r="K61" s="60"/>
    </row>
    <row r="62" spans="1:8" ht="18">
      <c r="A62" s="56" t="s">
        <v>45</v>
      </c>
      <c r="B62" s="58"/>
      <c r="C62" s="58"/>
      <c r="D62" s="58"/>
      <c r="E62" s="53"/>
      <c r="F62" s="53"/>
      <c r="G62" s="53"/>
      <c r="H62" s="53"/>
    </row>
    <row r="63" ht="8.25" customHeight="1"/>
    <row r="64" spans="1:6" ht="18">
      <c r="A64" s="47" t="s">
        <v>47</v>
      </c>
      <c r="C64" s="49" t="s">
        <v>48</v>
      </c>
      <c r="F64" s="47" t="s">
        <v>46</v>
      </c>
    </row>
    <row r="65" spans="1:6" ht="18">
      <c r="A65" s="57" t="s">
        <v>57</v>
      </c>
      <c r="C65" s="57" t="s">
        <v>57</v>
      </c>
      <c r="F65" s="67" t="s">
        <v>61</v>
      </c>
    </row>
  </sheetData>
  <sheetProtection password="C6A6" sheet="1"/>
  <mergeCells count="5">
    <mergeCell ref="B20:K20"/>
    <mergeCell ref="A53:A54"/>
    <mergeCell ref="B53:K54"/>
    <mergeCell ref="A57:K58"/>
    <mergeCell ref="A45:K45"/>
  </mergeCells>
  <hyperlinks>
    <hyperlink ref="F64" r:id="rId1" display="Roy Arnott"/>
    <hyperlink ref="A64" r:id="rId2" display="Benjamin Hamm"/>
    <hyperlink ref="C64" r:id="rId3" display="Greg Fedak"/>
  </hyperlinks>
  <printOptions horizontalCentered="1"/>
  <pageMargins left="0.35433070866141736" right="0.35433070866141736" top="0.5905511811023623" bottom="0.984251968503937" header="0.5118110236220472" footer="0.5118110236220472"/>
  <pageSetup firstPageNumber="3" useFirstPageNumber="1" fitToHeight="1" fitToWidth="1" horizontalDpi="600" verticalDpi="600" orientation="portrait" pageOrder="overThenDown" scale="68" r:id="rId5"/>
  <headerFooter scaleWithDoc="0" alignWithMargins="0">
    <oddFooter>&amp;R&amp;9Manitoba Agriculture, Farm Management</oddFooter>
  </headerFooter>
  <ignoredErrors>
    <ignoredError sqref="D28 E28:J28" formula="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 Arnott</dc:creator>
  <cp:keywords/>
  <dc:description/>
  <cp:lastModifiedBy>Roy Arnott</cp:lastModifiedBy>
  <cp:lastPrinted>2019-09-26T21:04:55Z</cp:lastPrinted>
  <dcterms:created xsi:type="dcterms:W3CDTF">2014-09-15T13:56:31Z</dcterms:created>
  <dcterms:modified xsi:type="dcterms:W3CDTF">2019-09-26T21:06:07Z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